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ispatch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'Dispatch'!$A$4:$AJ$154</definedName>
    <definedName name="_xlnm._FilterDatabase" localSheetId="2" hidden="1">'Settings'!$A$14:$E$114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mm/dd/yyyy"/>
    <numFmt numFmtId="165" formatCode="$#,##0;[Red]-$#,##0"/>
    <numFmt numFmtId="166" formatCode="0.0%"/>
    <numFmt numFmtId="167" formatCode="#,##0.0"/>
    <numFmt numFmtId="168" formatCode="mmm yyyy"/>
    <numFmt numFmtId="169" formatCode="mm/dd/yyyy h:mm AM/PM"/>
    <numFmt numFmtId="170" formatCode="$#,##0.00;[Red]-$#,##0.00"/>
    <numFmt numFmtId="171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123B52"/>
      <sz val="10"/>
    </font>
    <font>
      <name val="Calibri"/>
      <b val="1"/>
      <color rgb="00123B52"/>
      <sz val="10"/>
    </font>
    <font>
      <name val="Calibri"/>
      <color rgb="00123B52"/>
      <sz val="10"/>
    </font>
    <font>
      <name val="Calibri"/>
      <b val="1"/>
      <color rgb="002A8C82"/>
      <sz val="10"/>
    </font>
    <font>
      <name val="Calibri"/>
      <b val="1"/>
      <color rgb="002A8C82"/>
      <sz val="16"/>
    </font>
    <font>
      <name val="Calibri"/>
      <b val="1"/>
      <color rgb="00123B52"/>
      <sz val="12"/>
    </font>
    <font>
      <name val="Calibri"/>
      <b val="1"/>
      <color rgb="00FFFFFF"/>
      <sz val="10"/>
    </font>
    <font>
      <name val="Calibri"/>
      <color rgb="002A8C82"/>
      <sz val="10"/>
    </font>
    <font>
      <name val="Calibri"/>
      <color rgb="00123B52"/>
      <sz val="9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E0F3EF"/>
      </patternFill>
    </fill>
    <fill>
      <patternFill patternType="solid">
        <fgColor rgb="00F97316"/>
      </patternFill>
    </fill>
  </fills>
  <borders count="3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bottom style="thin">
        <color rgb="00CDDDE1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0" borderId="0" pivotButton="0" quotePrefix="0" xfId="0"/>
    <xf numFmtId="3" fontId="5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3" borderId="1" pivotButton="0" quotePrefix="0" xfId="0"/>
    <xf numFmtId="3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4" fillId="0" borderId="2" pivotButton="0" quotePrefix="0" xfId="0"/>
    <xf numFmtId="3" fontId="4" fillId="0" borderId="2" pivotButton="0" quotePrefix="0" xfId="0"/>
    <xf numFmtId="168" fontId="4" fillId="0" borderId="2" pivotButton="0" quotePrefix="0" xfId="0"/>
    <xf numFmtId="165" fontId="4" fillId="0" borderId="2" pivotButton="0" quotePrefix="0" xfId="0"/>
    <xf numFmtId="0" fontId="3" fillId="3" borderId="0" applyAlignment="1" pivotButton="0" quotePrefix="0" xfId="0">
      <alignment horizontal="center"/>
    </xf>
    <xf numFmtId="0" fontId="5" fillId="5" borderId="0" applyAlignment="1" pivotButton="0" quotePrefix="0" xfId="0">
      <alignment horizontal="center"/>
    </xf>
    <xf numFmtId="0" fontId="4" fillId="3" borderId="2" applyAlignment="1" pivotButton="0" quotePrefix="0" xfId="0">
      <alignment vertical="top"/>
    </xf>
    <xf numFmtId="164" fontId="4" fillId="3" borderId="2" applyAlignment="1" pivotButton="0" quotePrefix="0" xfId="0">
      <alignment vertical="top"/>
    </xf>
    <xf numFmtId="0" fontId="4" fillId="3" borderId="2" applyAlignment="1" pivotButton="0" quotePrefix="0" xfId="0">
      <alignment vertical="top" wrapText="1"/>
    </xf>
    <xf numFmtId="169" fontId="4" fillId="3" borderId="2" applyAlignment="1" pivotButton="0" quotePrefix="0" xfId="0">
      <alignment vertical="top"/>
    </xf>
    <xf numFmtId="167" fontId="4" fillId="3" borderId="2" applyAlignment="1" pivotButton="0" quotePrefix="0" xfId="0">
      <alignment vertical="top"/>
    </xf>
    <xf numFmtId="167" fontId="9" fillId="5" borderId="2" applyAlignment="1" pivotButton="0" quotePrefix="0" xfId="0">
      <alignment vertical="top"/>
    </xf>
    <xf numFmtId="170" fontId="4" fillId="3" borderId="2" applyAlignment="1" pivotButton="0" quotePrefix="0" xfId="0">
      <alignment vertical="top"/>
    </xf>
    <xf numFmtId="170" fontId="9" fillId="5" borderId="2" applyAlignment="1" pivotButton="0" quotePrefix="0" xfId="0">
      <alignment vertical="top"/>
    </xf>
    <xf numFmtId="2" fontId="4" fillId="3" borderId="2" applyAlignment="1" pivotButton="0" quotePrefix="0" xfId="0">
      <alignment vertical="top"/>
    </xf>
    <xf numFmtId="166" fontId="9" fillId="5" borderId="2" applyAlignment="1" pivotButton="0" quotePrefix="0" xfId="0">
      <alignment vertical="top"/>
    </xf>
    <xf numFmtId="1" fontId="9" fillId="5" borderId="2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9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70" fontId="0" fillId="0" borderId="0" applyAlignment="1" pivotButton="0" quotePrefix="0" xfId="0">
      <alignment vertical="top"/>
    </xf>
    <xf numFmtId="2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" fontId="0" fillId="0" borderId="0" applyAlignment="1" pivotButton="0" quotePrefix="0" xfId="0">
      <alignment vertical="top"/>
    </xf>
    <xf numFmtId="0" fontId="4" fillId="3" borderId="2" pivotButton="0" quotePrefix="0" xfId="0"/>
    <xf numFmtId="170" fontId="4" fillId="3" borderId="2" pivotButton="0" quotePrefix="0" xfId="0"/>
    <xf numFmtId="0" fontId="9" fillId="5" borderId="2" pivotButton="0" quotePrefix="0" xfId="0"/>
    <xf numFmtId="0" fontId="10" fillId="3" borderId="2" applyAlignment="1" pivotButton="0" quotePrefix="0" xfId="0">
      <alignment vertical="top" wrapText="1"/>
    </xf>
    <xf numFmtId="166" fontId="4" fillId="3" borderId="2" pivotButton="0" quotePrefix="0" xfId="0"/>
    <xf numFmtId="1" fontId="4" fillId="3" borderId="2" pivotButton="0" quotePrefix="0" xfId="0"/>
    <xf numFmtId="171" fontId="4" fillId="3" borderId="2" pivotButton="0" quotePrefix="0" xfId="0"/>
    <xf numFmtId="0" fontId="2" fillId="0" borderId="0" applyAlignment="1" pivotButton="0" quotePrefix="0" xfId="0">
      <alignment wrapText="1"/>
    </xf>
    <xf numFmtId="0" fontId="9" fillId="5" borderId="2" applyAlignment="1" pivotButton="0" quotePrefix="0" xfId="0">
      <alignment horizontal="center" vertical="top"/>
    </xf>
    <xf numFmtId="170" fontId="0" fillId="0" borderId="0" pivotButton="0" quotePrefix="0" xfId="0"/>
    <xf numFmtId="0" fontId="0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3" fillId="3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169" fontId="4" fillId="3" borderId="2" applyAlignment="1" pivotButton="0" quotePrefix="0" xfId="0">
      <alignment vertical="top"/>
    </xf>
    <xf numFmtId="170" fontId="4" fillId="3" borderId="2" applyAlignment="1" pivotButton="0" quotePrefix="0" xfId="0">
      <alignment vertical="top"/>
    </xf>
    <xf numFmtId="170" fontId="9" fillId="5" borderId="2" applyAlignment="1" pivotButton="0" quotePrefix="0" xfId="0">
      <alignment vertical="top"/>
    </xf>
    <xf numFmtId="169" fontId="0" fillId="0" borderId="0" applyAlignment="1" pivotButton="0" quotePrefix="0" xfId="0">
      <alignment vertical="top"/>
    </xf>
    <xf numFmtId="170" fontId="0" fillId="0" borderId="0" applyAlignment="1" pivotButton="0" quotePrefix="0" xfId="0">
      <alignment vertical="top"/>
    </xf>
    <xf numFmtId="170" fontId="4" fillId="3" borderId="2" pivotButton="0" quotePrefix="0" xfId="0"/>
    <xf numFmtId="171" fontId="4" fillId="3" borderId="2" pivotButton="0" quotePrefix="0" xfId="0"/>
    <xf numFmtId="170" fontId="0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  <dxf>
      <font>
        <name val="Calibri"/>
        <color rgb="00123B52"/>
        <sz val="10"/>
      </font>
      <fill>
        <patternFill patternType="solid">
          <fgColor rgb="00F1F7F5"/>
        </patternFill>
      </fill>
    </dxf>
    <dxf>
      <font>
        <name val="Calibri"/>
        <color rgb="002A8C82"/>
        <sz val="10"/>
      </font>
      <fill>
        <patternFill patternType="solid">
          <fgColor rgb="00E0F3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'Dashboard'!$A$15:$A$21</f>
            </numRef>
          </cat>
          <val>
            <numRef>
              <f>'Dashboard'!$B$15:$B$21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Revenue, Cost, and Margin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'Dashboard'!B25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'Dashboard'!$A$26:$A$31</f>
            </numRef>
          </cat>
          <val>
            <numRef>
              <f>'Dashboard'!$B$26:$B$31</f>
            </numRef>
          </val>
        </ser>
        <ser>
          <idx val="1"/>
          <order val="1"/>
          <tx>
            <strRef>
              <f>'Dashboard'!C25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'Dashboard'!$A$26:$A$31</f>
            </numRef>
          </cat>
          <val>
            <numRef>
              <f>'Dashboard'!$C$26:$C$31</f>
            </numRef>
          </val>
        </ser>
        <ser>
          <idx val="2"/>
          <order val="2"/>
          <tx>
            <strRef>
              <f>'Dashboard'!D25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'Dashboard'!$A$26:$A$31</f>
            </numRef>
          </cat>
          <val>
            <numRef>
              <f>'Dashboard'!$D$26:$D$31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27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/>
  </sheetPr>
  <dimension ref="A1:L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16" customWidth="1" min="4" max="4"/>
    <col width="24" customWidth="1" min="5" max="5"/>
    <col width="13" customWidth="1" min="6" max="6"/>
    <col width="18" customWidth="1" min="7" max="7"/>
    <col width="13" customWidth="1" min="8" max="8"/>
    <col width="18" customWidth="1" min="9" max="9"/>
    <col width="18" customWidth="1" min="10" max="10"/>
    <col width="13" customWidth="1" min="11" max="11"/>
    <col width="13" customWidth="1" min="12" max="12"/>
  </cols>
  <sheetData>
    <row r="1" ht="32" customHeight="1">
      <c r="A1" s="1" t="inlineStr">
        <is>
          <t>Drayage Dispatch Dashboard</t>
        </is>
      </c>
    </row>
    <row r="2" ht="28" customHeight="1">
      <c r="A2" s="2" t="inlineStr">
        <is>
          <t>Manual planning and performance view for container moves. Dashboard values recalculate from the prepared Dispatch rows.</t>
        </is>
      </c>
    </row>
    <row r="3">
      <c r="A3" s="3" t="inlineStr">
        <is>
          <t>As of</t>
        </is>
      </c>
      <c r="B3" s="4">
        <f>TODAY()</f>
        <v/>
      </c>
      <c r="J3" s="3" t="inlineStr">
        <is>
          <t>Prepared dispatch rows</t>
        </is>
      </c>
      <c r="K3" s="5" t="n">
        <v>150</v>
      </c>
    </row>
    <row r="4"/>
    <row r="5" ht="24" customHeight="1">
      <c r="A5" s="6" t="inlineStr">
        <is>
          <t>Open Loads</t>
        </is>
      </c>
      <c r="B5" s="7" t="n"/>
      <c r="C5" s="6" t="inlineStr">
        <is>
          <t>Loads MTD</t>
        </is>
      </c>
      <c r="D5" s="7" t="n"/>
      <c r="E5" s="6" t="inlineStr">
        <is>
          <t>Revenue MTD</t>
        </is>
      </c>
      <c r="F5" s="7" t="n"/>
      <c r="G5" s="6" t="inlineStr">
        <is>
          <t>Gross Margin MTD</t>
        </is>
      </c>
      <c r="H5" s="7" t="n"/>
      <c r="I5" s="6" t="inlineStr">
        <is>
          <t>Margin % MTD</t>
        </is>
      </c>
      <c r="J5" s="7" t="n"/>
    </row>
    <row r="6" ht="30" customHeight="1">
      <c r="A6" s="8">
        <f>IFERROR(COUNTIFS('Dispatch'!$A$5:$A$154,"&lt;&gt;",'Dispatch'!$C$5:$C$154,"&lt;&gt;Delivered",'Dispatch'!$C$5:$C$154,"&lt;&gt;Canceled"),0)</f>
        <v/>
      </c>
      <c r="B6" s="7" t="n"/>
      <c r="C6" s="8">
        <f>IFERROR(COUNTIFS('Dispatch'!$A$5:$A$154,"&lt;&gt;",'Dispatch'!$B$5:$B$154,"&gt;="&amp;EOMONTH(TODAY(),-1)+1,'Dispatch'!$B$5:$B$154,"&lt;="&amp;TODAY()),0)</f>
        <v/>
      </c>
      <c r="D6" s="7" t="n"/>
      <c r="E6" s="9">
        <f>IFERROR(SUMIFS('Dispatch'!$Z$5:$Z$154,'Dispatch'!$B$5:$B$154,"&gt;="&amp;EOMONTH(TODAY(),-1)+1,'Dispatch'!$B$5:$B$154,"&lt;="&amp;TODAY()),0)</f>
        <v/>
      </c>
      <c r="F6" s="7" t="n"/>
      <c r="G6" s="9">
        <f>IFERROR(SUMIFS('Dispatch'!$AE$5:$AE$154,'Dispatch'!$B$5:$B$154,"&gt;="&amp;EOMONTH(TODAY(),-1)+1,'Dispatch'!$B$5:$B$154,"&lt;="&amp;TODAY()),0)</f>
        <v/>
      </c>
      <c r="H6" s="7" t="n"/>
      <c r="I6" s="10">
        <f>IFERROR($G$6/$E$6,0)</f>
        <v/>
      </c>
      <c r="J6" s="7" t="n"/>
    </row>
    <row r="7"/>
    <row r="8" ht="24" customHeight="1">
      <c r="A8" s="6" t="inlineStr">
        <is>
          <t>Delivered MTD</t>
        </is>
      </c>
      <c r="B8" s="7" t="n"/>
      <c r="C8" s="6" t="inlineStr">
        <is>
          <t>On-Time Rate</t>
        </is>
      </c>
      <c r="D8" s="7" t="n"/>
      <c r="E8" s="6" t="inlineStr">
        <is>
          <t>Avg Revenue / Load</t>
        </is>
      </c>
      <c r="F8" s="7" t="n"/>
      <c r="G8" s="6" t="inlineStr">
        <is>
          <t>Total Miles MTD</t>
        </is>
      </c>
      <c r="H8" s="7" t="n"/>
      <c r="I8" s="6" t="inlineStr">
        <is>
          <t>Fuel Gallons MTD</t>
        </is>
      </c>
      <c r="J8" s="7" t="n"/>
    </row>
    <row r="9" ht="30" customHeight="1">
      <c r="A9" s="8">
        <f>IFERROR(COUNTIFS('Dispatch'!$C$5:$C$154,"Delivered",'Dispatch'!$B$5:$B$154,"&gt;="&amp;EOMONTH(TODAY(),-1)+1,'Dispatch'!$B$5:$B$154,"&lt;="&amp;TODAY()),0)</f>
        <v/>
      </c>
      <c r="B9" s="7" t="n"/>
      <c r="C9" s="10">
        <f>IFERROR(COUNTIFS('Dispatch'!$C$5:$C$154,"Delivered",'Dispatch'!$AG$5:$AG$154,"Yes",'Dispatch'!$B$5:$B$154,"&gt;="&amp;EOMONTH(TODAY(),-1)+1,'Dispatch'!$B$5:$B$154,"&lt;="&amp;TODAY())/COUNTIFS('Dispatch'!$C$5:$C$154,"Delivered",'Dispatch'!$B$5:$B$154,"&gt;="&amp;EOMONTH(TODAY(),-1)+1,'Dispatch'!$B$5:$B$154,"&lt;="&amp;TODAY()),0)</f>
        <v/>
      </c>
      <c r="D9" s="7" t="n"/>
      <c r="E9" s="9">
        <f>IFERROR(SUMIFS('Dispatch'!$Z$5:$Z$154,'Dispatch'!$B$5:$B$154,"&gt;="&amp;EOMONTH(TODAY(),-1)+1,'Dispatch'!$B$5:$B$154,"&lt;="&amp;TODAY())/COUNTIFS('Dispatch'!$A$5:$A$154,"&lt;&gt;",'Dispatch'!$C$5:$C$154,"&lt;&gt;Canceled",'Dispatch'!$B$5:$B$154,"&gt;="&amp;EOMONTH(TODAY(),-1)+1,'Dispatch'!$B$5:$B$154,"&lt;="&amp;TODAY()),0)</f>
        <v/>
      </c>
      <c r="F9" s="7" t="n"/>
      <c r="G9" s="8">
        <f>IFERROR(SUMIFS('Dispatch'!$S$5:$S$154,'Dispatch'!$B$5:$B$154,"&gt;="&amp;EOMONTH(TODAY(),-1)+1,'Dispatch'!$B$5:$B$154,"&lt;="&amp;TODAY()),0)</f>
        <v/>
      </c>
      <c r="H9" s="7" t="n"/>
      <c r="I9" s="11">
        <f>IFERROR(SUMIFS('Dispatch'!$T$5:$T$154,'Dispatch'!$B$5:$B$154,"&gt;="&amp;EOMONTH(TODAY(),-1)+1,'Dispatch'!$B$5:$B$154,"&lt;="&amp;TODAY()),0)</f>
        <v/>
      </c>
      <c r="J9" s="7" t="n"/>
    </row>
    <row r="10"/>
    <row r="11"/>
    <row r="12">
      <c r="A12" s="12" t="inlineStr">
        <is>
          <t>Current Load Mix</t>
        </is>
      </c>
      <c r="D12" s="12" t="inlineStr">
        <is>
          <t>Priority Mix</t>
        </is>
      </c>
    </row>
    <row r="13"/>
    <row r="14">
      <c r="A14" s="13" t="inlineStr">
        <is>
          <t>Status</t>
        </is>
      </c>
      <c r="B14" s="14" t="inlineStr">
        <is>
          <t>Load Count</t>
        </is>
      </c>
      <c r="D14" s="13" t="inlineStr">
        <is>
          <t>Priority</t>
        </is>
      </c>
      <c r="E14" s="14" t="inlineStr">
        <is>
          <t>Load Count</t>
        </is>
      </c>
    </row>
    <row r="15">
      <c r="A15" s="15" t="inlineStr">
        <is>
          <t>Scheduled</t>
        </is>
      </c>
      <c r="B15" s="16">
        <f>IFERROR(COUNTIF('Dispatch'!$C$5:$C$154,$A15),0)</f>
        <v/>
      </c>
      <c r="D15" s="15" t="inlineStr">
        <is>
          <t>Standard</t>
        </is>
      </c>
      <c r="E15" s="16">
        <f>IFERROR(COUNTIF('Dispatch'!$D$5:$D$154,$D15),0)</f>
        <v/>
      </c>
    </row>
    <row r="16">
      <c r="A16" s="15" t="inlineStr">
        <is>
          <t>Dispatched</t>
        </is>
      </c>
      <c r="B16" s="16">
        <f>IFERROR(COUNTIF('Dispatch'!$C$5:$C$154,$A16),0)</f>
        <v/>
      </c>
      <c r="D16" s="15" t="inlineStr">
        <is>
          <t>High</t>
        </is>
      </c>
      <c r="E16" s="16">
        <f>IFERROR(COUNTIF('Dispatch'!$D$5:$D$154,$D16),0)</f>
        <v/>
      </c>
    </row>
    <row r="17">
      <c r="A17" s="15" t="inlineStr">
        <is>
          <t>At Terminal</t>
        </is>
      </c>
      <c r="B17" s="16">
        <f>IFERROR(COUNTIF('Dispatch'!$C$5:$C$154,$A17),0)</f>
        <v/>
      </c>
      <c r="D17" s="15" t="inlineStr">
        <is>
          <t>Critical</t>
        </is>
      </c>
      <c r="E17" s="16">
        <f>IFERROR(COUNTIF('Dispatch'!$D$5:$D$154,$D17),0)</f>
        <v/>
      </c>
    </row>
    <row r="18">
      <c r="A18" s="15" t="inlineStr">
        <is>
          <t>In Transit</t>
        </is>
      </c>
      <c r="B18" s="16">
        <f>IFERROR(COUNTIF('Dispatch'!$C$5:$C$154,$A18),0)</f>
        <v/>
      </c>
      <c r="E18">
        <f>""</f>
        <v/>
      </c>
    </row>
    <row r="19">
      <c r="A19" s="15" t="inlineStr">
        <is>
          <t>Delivered</t>
        </is>
      </c>
      <c r="B19" s="16">
        <f>IFERROR(COUNTIF('Dispatch'!$C$5:$C$154,$A19),0)</f>
        <v/>
      </c>
      <c r="E19">
        <f>""</f>
        <v/>
      </c>
    </row>
    <row r="20">
      <c r="A20" s="15" t="inlineStr">
        <is>
          <t>Exception</t>
        </is>
      </c>
      <c r="B20" s="16">
        <f>IFERROR(COUNTIF('Dispatch'!$C$5:$C$154,$A20),0)</f>
        <v/>
      </c>
      <c r="E20">
        <f>""</f>
        <v/>
      </c>
    </row>
    <row r="21">
      <c r="A21" s="15" t="inlineStr">
        <is>
          <t>Canceled</t>
        </is>
      </c>
      <c r="B21" s="16">
        <f>IFERROR(COUNTIF('Dispatch'!$C$5:$C$154,$A21),0)</f>
        <v/>
      </c>
      <c r="E21">
        <f>""</f>
        <v/>
      </c>
    </row>
    <row r="22">
      <c r="E22">
        <f>""</f>
        <v/>
      </c>
    </row>
    <row r="23">
      <c r="A23" s="12" t="inlineStr">
        <is>
          <t>Six-Month Financial Trend</t>
        </is>
      </c>
      <c r="E23" s="12" t="inlineStr">
        <is>
          <t>Operational Checks</t>
        </is>
      </c>
    </row>
    <row r="24">
      <c r="E24">
        <f>""</f>
        <v/>
      </c>
    </row>
    <row r="25">
      <c r="A25" s="13" t="inlineStr">
        <is>
          <t>Month</t>
        </is>
      </c>
      <c r="B25" s="14" t="inlineStr">
        <is>
          <t>Revenue</t>
        </is>
      </c>
      <c r="C25" s="14" t="inlineStr">
        <is>
          <t>Total Cost</t>
        </is>
      </c>
      <c r="D25" s="14" t="inlineStr">
        <is>
          <t>Gross Margin</t>
        </is>
      </c>
      <c r="E25" s="13" t="inlineStr">
        <is>
          <t>Check</t>
        </is>
      </c>
      <c r="F25" s="14" t="inlineStr">
        <is>
          <t>Count</t>
        </is>
      </c>
    </row>
    <row r="26">
      <c r="A26" s="17">
        <f>EOMONTH(TODAY(),-5)</f>
        <v/>
      </c>
      <c r="B26" s="18">
        <f>IFERROR(SUMIFS('Dispatch'!$Z$5:$Z$154,'Dispatch'!$B$5:$B$154,"&gt;"&amp;EOMONTH($A26,-1),'Dispatch'!$B$5:$B$154,"&lt;="&amp;$A26),0)</f>
        <v/>
      </c>
      <c r="C26" s="18">
        <f>IFERROR(SUMIFS('Dispatch'!$AD$5:$AD$154,'Dispatch'!$B$5:$B$154,"&gt;"&amp;EOMONTH($A26,-1),'Dispatch'!$B$5:$B$154,"&lt;="&amp;$A26),0)</f>
        <v/>
      </c>
      <c r="D26" s="18">
        <f>IFERROR(SUMIFS('Dispatch'!$AE$5:$AE$154,'Dispatch'!$B$5:$B$154,"&gt;"&amp;EOMONTH($A26,-1),'Dispatch'!$B$5:$B$154,"&lt;="&amp;$A26),0)</f>
        <v/>
      </c>
      <c r="E26" s="15" t="inlineStr">
        <is>
          <t>Exception Loads</t>
        </is>
      </c>
      <c r="F26" s="16">
        <f>IFERROR(COUNTIF('Dispatch'!$C$5:$C$154,"Exception"),0)</f>
        <v/>
      </c>
    </row>
    <row r="27">
      <c r="A27" s="17">
        <f>EOMONTH($A26,1)</f>
        <v/>
      </c>
      <c r="B27" s="18">
        <f>IFERROR(SUMIFS('Dispatch'!$Z$5:$Z$154,'Dispatch'!$B$5:$B$154,"&gt;"&amp;EOMONTH($A27,-1),'Dispatch'!$B$5:$B$154,"&lt;="&amp;$A27),0)</f>
        <v/>
      </c>
      <c r="C27" s="18">
        <f>IFERROR(SUMIFS('Dispatch'!$AD$5:$AD$154,'Dispatch'!$B$5:$B$154,"&gt;"&amp;EOMONTH($A27,-1),'Dispatch'!$B$5:$B$154,"&lt;="&amp;$A27),0)</f>
        <v/>
      </c>
      <c r="D27" s="18">
        <f>IFERROR(SUMIFS('Dispatch'!$AE$5:$AE$154,'Dispatch'!$B$5:$B$154,"&gt;"&amp;EOMONTH($A27,-1),'Dispatch'!$B$5:$B$154,"&lt;="&amp;$A27),0)</f>
        <v/>
      </c>
      <c r="E27" s="15" t="inlineStr">
        <is>
          <t>Active Missing Driver</t>
        </is>
      </c>
      <c r="F27" s="16">
        <f>IFERROR(COUNTIFS('Dispatch'!$A$5:$A$154,"&lt;&gt;",'Dispatch'!$C$5:$C$154,"&lt;&gt;Delivered",'Dispatch'!$C$5:$C$154,"&lt;&gt;Canceled",'Dispatch'!$L$5:$L$154,""),0)</f>
        <v/>
      </c>
    </row>
    <row r="28">
      <c r="A28" s="17">
        <f>EOMONTH($A27,1)</f>
        <v/>
      </c>
      <c r="B28" s="18">
        <f>IFERROR(SUMIFS('Dispatch'!$Z$5:$Z$154,'Dispatch'!$B$5:$B$154,"&gt;"&amp;EOMONTH($A28,-1),'Dispatch'!$B$5:$B$154,"&lt;="&amp;$A28),0)</f>
        <v/>
      </c>
      <c r="C28" s="18">
        <f>IFERROR(SUMIFS('Dispatch'!$AD$5:$AD$154,'Dispatch'!$B$5:$B$154,"&gt;"&amp;EOMONTH($A28,-1),'Dispatch'!$B$5:$B$154,"&lt;="&amp;$A28),0)</f>
        <v/>
      </c>
      <c r="D28" s="18">
        <f>IFERROR(SUMIFS('Dispatch'!$AE$5:$AE$154,'Dispatch'!$B$5:$B$154,"&gt;"&amp;EOMONTH($A28,-1),'Dispatch'!$B$5:$B$154,"&lt;="&amp;$A28),0)</f>
        <v/>
      </c>
      <c r="E28" s="15" t="inlineStr">
        <is>
          <t>Missing Pickup Appointment</t>
        </is>
      </c>
      <c r="F28" s="16">
        <f>IFERROR(COUNTIFS('Dispatch'!$A$5:$A$154,"&lt;&gt;",'Dispatch'!$C$5:$C$154,"&lt;&gt;Delivered",'Dispatch'!$C$5:$C$154,"&lt;&gt;Canceled",'Dispatch'!$J$5:$J$154,""),0)</f>
        <v/>
      </c>
    </row>
    <row r="29">
      <c r="A29" s="17">
        <f>EOMONTH($A28,1)</f>
        <v/>
      </c>
      <c r="B29" s="18">
        <f>IFERROR(SUMIFS('Dispatch'!$Z$5:$Z$154,'Dispatch'!$B$5:$B$154,"&gt;"&amp;EOMONTH($A29,-1),'Dispatch'!$B$5:$B$154,"&lt;="&amp;$A29),0)</f>
        <v/>
      </c>
      <c r="C29" s="18">
        <f>IFERROR(SUMIFS('Dispatch'!$AD$5:$AD$154,'Dispatch'!$B$5:$B$154,"&gt;"&amp;EOMONTH($A29,-1),'Dispatch'!$B$5:$B$154,"&lt;="&amp;$A29),0)</f>
        <v/>
      </c>
      <c r="D29" s="18">
        <f>IFERROR(SUMIFS('Dispatch'!$AE$5:$AE$154,'Dispatch'!$B$5:$B$154,"&gt;"&amp;EOMONTH($A29,-1),'Dispatch'!$B$5:$B$154,"&lt;="&amp;$A29),0)</f>
        <v/>
      </c>
      <c r="E29" s="15" t="inlineStr">
        <is>
          <t>Negative Margin Loads</t>
        </is>
      </c>
      <c r="F29" s="16">
        <f>IFERROR(COUNTIFS('Dispatch'!$A$5:$A$154,"&lt;&gt;",'Dispatch'!$AE$5:$AE$154,"&lt;0"),0)</f>
        <v/>
      </c>
    </row>
    <row r="30">
      <c r="A30" s="17">
        <f>EOMONTH($A29,1)</f>
        <v/>
      </c>
      <c r="B30" s="18">
        <f>IFERROR(SUMIFS('Dispatch'!$Z$5:$Z$154,'Dispatch'!$B$5:$B$154,"&gt;"&amp;EOMONTH($A30,-1),'Dispatch'!$B$5:$B$154,"&lt;="&amp;$A30),0)</f>
        <v/>
      </c>
      <c r="C30" s="18">
        <f>IFERROR(SUMIFS('Dispatch'!$AD$5:$AD$154,'Dispatch'!$B$5:$B$154,"&gt;"&amp;EOMONTH($A30,-1),'Dispatch'!$B$5:$B$154,"&lt;="&amp;$A30),0)</f>
        <v/>
      </c>
      <c r="D30" s="18">
        <f>IFERROR(SUMIFS('Dispatch'!$AE$5:$AE$154,'Dispatch'!$B$5:$B$154,"&gt;"&amp;EOMONTH($A30,-1),'Dispatch'!$B$5:$B$154,"&lt;="&amp;$A30),0)</f>
        <v/>
      </c>
      <c r="E30" s="15" t="inlineStr">
        <is>
          <t>Open Beyond Alert Days</t>
        </is>
      </c>
      <c r="F30" s="16">
        <f>IFERROR(COUNTIFS('Dispatch'!$A$5:$A$154,"&lt;&gt;",'Dispatch'!$C$5:$C$154,"&lt;&gt;Delivered",'Dispatch'!$C$5:$C$154,"&lt;&gt;Canceled",'Dispatch'!$AI$5:$AI$154,"&gt;"&amp;'Settings'!$B$7),0)</f>
        <v/>
      </c>
    </row>
    <row r="31">
      <c r="A31" s="17">
        <f>EOMONTH($A30,1)</f>
        <v/>
      </c>
      <c r="B31" s="18">
        <f>IFERROR(SUMIFS('Dispatch'!$Z$5:$Z$154,'Dispatch'!$B$5:$B$154,"&gt;"&amp;EOMONTH($A31,-1),'Dispatch'!$B$5:$B$154,"&lt;="&amp;$A31),0)</f>
        <v/>
      </c>
      <c r="C31" s="18">
        <f>IFERROR(SUMIFS('Dispatch'!$AD$5:$AD$154,'Dispatch'!$B$5:$B$154,"&gt;"&amp;EOMONTH($A31,-1),'Dispatch'!$B$5:$B$154,"&lt;="&amp;$A31),0)</f>
        <v/>
      </c>
      <c r="D31" s="18">
        <f>IFERROR(SUMIFS('Dispatch'!$AE$5:$AE$154,'Dispatch'!$B$5:$B$154,"&gt;"&amp;EOMONTH($A31,-1),'Dispatch'!$B$5:$B$154,"&lt;="&amp;$A31),0)</f>
        <v/>
      </c>
      <c r="E31" s="15" t="inlineStr">
        <is>
          <t>Accessorial Rate Review</t>
        </is>
      </c>
      <c r="F31" s="16">
        <f>IFERROR(COUNTIFS('Dispatch'!$A$5:$A$154,"&lt;&gt;",'Dispatch'!$W$5:$W$154,"&lt;&gt;",'Dispatch'!$W$5:$W$154,"&lt;&gt;None",'Dispatch'!$Y$5:$Y$154,0),0)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</row>
  </sheetData>
  <mergeCells count="1">
    <mergeCell ref="A1:L1"/>
  </mergeCells>
  <conditionalFormatting sqref="F26:F31">
    <cfRule type="expression" priority="1" dxfId="0">
      <formula>F26&gt;0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/>
  </sheetPr>
  <dimension ref="A1:AJ15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4" customWidth="1" min="3" max="3"/>
    <col width="11" customWidth="1" min="4" max="4"/>
    <col width="24" customWidth="1" min="5" max="5"/>
    <col width="18" customWidth="1" min="6" max="6"/>
    <col width="14" customWidth="1" min="7" max="7"/>
    <col width="17" customWidth="1" min="8" max="8"/>
    <col width="28" customWidth="1" min="9" max="9"/>
    <col width="21" customWidth="1" min="10" max="10"/>
    <col width="21" customWidth="1" min="11" max="11"/>
    <col width="18" customWidth="1" min="12" max="12"/>
    <col width="12" customWidth="1" min="13" max="13"/>
    <col width="13" customWidth="1" min="14" max="14"/>
    <col width="20" customWidth="1" min="15" max="15"/>
    <col width="24" customWidth="1" min="16" max="16"/>
    <col width="13" customWidth="1" min="17" max="17"/>
    <col width="12" customWidth="1" min="18" max="18"/>
    <col width="12" customWidth="1" min="19" max="19"/>
    <col width="13" customWidth="1" min="20" max="20"/>
    <col width="14" customWidth="1" min="21" max="21"/>
    <col width="15" customWidth="1" min="22" max="22"/>
    <col width="18" customWidth="1" min="23" max="23"/>
    <col width="17" customWidth="1" min="24" max="24"/>
    <col width="18" customWidth="1" min="25" max="25"/>
    <col width="15" customWidth="1" min="26" max="26"/>
    <col width="13" customWidth="1" min="27" max="27"/>
    <col width="13" customWidth="1" min="28" max="28"/>
    <col width="13" customWidth="1" min="29" max="29"/>
    <col width="14" customWidth="1" min="30" max="30"/>
    <col width="15" customWidth="1" min="31" max="31"/>
    <col width="11" customWidth="1" min="32" max="32"/>
    <col width="11" customWidth="1" min="33" max="33"/>
    <col width="18" customWidth="1" min="34" max="34"/>
    <col width="11" customWidth="1" min="35" max="35"/>
    <col width="42" customWidth="1" min="36" max="36"/>
  </cols>
  <sheetData>
    <row r="1" ht="32" customHeight="1">
      <c r="A1" s="1" t="inlineStr">
        <is>
          <t>Drayage Dispatch Load Board</t>
        </is>
      </c>
    </row>
    <row r="2" ht="28" customHeight="1">
      <c r="A2" s="2" t="inlineStr">
        <is>
          <t>Light cells are manual inputs. Mint cells are calculated. Use filters to review active loads, appointments, costs, and exceptions.</t>
        </is>
      </c>
      <c r="AI2" s="19" t="inlineStr">
        <is>
          <t>Input</t>
        </is>
      </c>
      <c r="AJ2" s="20" t="inlineStr">
        <is>
          <t>Calculated</t>
        </is>
      </c>
    </row>
    <row r="4" ht="44" customHeight="1">
      <c r="A4" s="13" t="inlineStr">
        <is>
          <t>Load ID</t>
        </is>
      </c>
      <c r="B4" s="13" t="inlineStr">
        <is>
          <t>Dispatch Date</t>
        </is>
      </c>
      <c r="C4" s="13" t="inlineStr">
        <is>
          <t>Status</t>
        </is>
      </c>
      <c r="D4" s="13" t="inlineStr">
        <is>
          <t>Priority</t>
        </is>
      </c>
      <c r="E4" s="13" t="inlineStr">
        <is>
          <t>Customer</t>
        </is>
      </c>
      <c r="F4" s="13" t="inlineStr">
        <is>
          <t>Container Number</t>
        </is>
      </c>
      <c r="G4" s="13" t="inlineStr">
        <is>
          <t>Container Size</t>
        </is>
      </c>
      <c r="H4" s="13" t="inlineStr">
        <is>
          <t>Steamship Line</t>
        </is>
      </c>
      <c r="I4" s="13" t="inlineStr">
        <is>
          <t>Terminal</t>
        </is>
      </c>
      <c r="J4" s="13" t="inlineStr">
        <is>
          <t>Pickup Appointment</t>
        </is>
      </c>
      <c r="K4" s="13" t="inlineStr">
        <is>
          <t>Delivery Appointment</t>
        </is>
      </c>
      <c r="L4" s="13" t="inlineStr">
        <is>
          <t>Driver</t>
        </is>
      </c>
      <c r="M4" s="13" t="inlineStr">
        <is>
          <t>Tractor</t>
        </is>
      </c>
      <c r="N4" s="13" t="inlineStr">
        <is>
          <t>Chassis</t>
        </is>
      </c>
      <c r="O4" s="13" t="inlineStr">
        <is>
          <t>Origin</t>
        </is>
      </c>
      <c r="P4" s="13" t="inlineStr">
        <is>
          <t>Destination</t>
        </is>
      </c>
      <c r="Q4" s="13" t="inlineStr">
        <is>
          <t>Loaded Miles</t>
        </is>
      </c>
      <c r="R4" s="13" t="inlineStr">
        <is>
          <t>Empty Miles</t>
        </is>
      </c>
      <c r="S4" s="14" t="inlineStr">
        <is>
          <t>Total Miles</t>
        </is>
      </c>
      <c r="T4" s="13" t="inlineStr">
        <is>
          <t>Fuel Gallons</t>
        </is>
      </c>
      <c r="U4" s="13" t="inlineStr">
        <is>
          <t>Base Revenue</t>
        </is>
      </c>
      <c r="V4" s="14" t="inlineStr">
        <is>
          <t>Fuel Surcharge</t>
        </is>
      </c>
      <c r="W4" s="13" t="inlineStr">
        <is>
          <t>Accessorial Type</t>
        </is>
      </c>
      <c r="X4" s="13" t="inlineStr">
        <is>
          <t>Accessorial Qty/Hrs</t>
        </is>
      </c>
      <c r="Y4" s="14" t="inlineStr">
        <is>
          <t>Accessorial Revenue</t>
        </is>
      </c>
      <c r="Z4" s="14" t="inlineStr">
        <is>
          <t>Total Revenue</t>
        </is>
      </c>
      <c r="AA4" s="13" t="inlineStr">
        <is>
          <t>Driver Pay</t>
        </is>
      </c>
      <c r="AB4" s="14" t="inlineStr">
        <is>
          <t>Fuel Cost</t>
        </is>
      </c>
      <c r="AC4" s="13" t="inlineStr">
        <is>
          <t>Other Cost</t>
        </is>
      </c>
      <c r="AD4" s="14" t="inlineStr">
        <is>
          <t>Total Cost</t>
        </is>
      </c>
      <c r="AE4" s="14" t="inlineStr">
        <is>
          <t>Gross Margin</t>
        </is>
      </c>
      <c r="AF4" s="14" t="inlineStr">
        <is>
          <t>Margin %</t>
        </is>
      </c>
      <c r="AG4" s="13" t="inlineStr">
        <is>
          <t>On-Time?</t>
        </is>
      </c>
      <c r="AH4" s="13" t="inlineStr">
        <is>
          <t>Actual Delivery Date</t>
        </is>
      </c>
      <c r="AI4" s="14" t="inlineStr">
        <is>
          <t>Days Open</t>
        </is>
      </c>
      <c r="AJ4" s="13" t="inlineStr">
        <is>
          <t>Dispatch Notes</t>
        </is>
      </c>
    </row>
    <row r="5">
      <c r="A5" s="21" t="inlineStr">
        <is>
          <t>DRY-2609-101</t>
        </is>
      </c>
      <c r="B5" s="22" t="n">
        <v>46264</v>
      </c>
      <c r="C5" s="21" t="inlineStr">
        <is>
          <t>Delivered</t>
        </is>
      </c>
      <c r="D5" s="21" t="inlineStr">
        <is>
          <t>Standard</t>
        </is>
      </c>
      <c r="E5" s="23" t="inlineStr">
        <is>
          <t>Harbor Retail Group</t>
        </is>
      </c>
      <c r="F5" s="21" t="inlineStr">
        <is>
          <t>TGHU7812456</t>
        </is>
      </c>
      <c r="G5" s="21" t="inlineStr">
        <is>
          <t>40' HC</t>
        </is>
      </c>
      <c r="H5" s="21" t="inlineStr">
        <is>
          <t>Maersk</t>
        </is>
      </c>
      <c r="I5" s="23" t="inlineStr">
        <is>
          <t>APM Terminals Pier 400</t>
        </is>
      </c>
      <c r="J5" s="57" t="n">
        <v>46265.33333333334</v>
      </c>
      <c r="K5" s="57" t="n">
        <v>46265.5625</v>
      </c>
      <c r="L5" s="21" t="inlineStr">
        <is>
          <t>Marcus Reed</t>
        </is>
      </c>
      <c r="M5" s="21" t="inlineStr">
        <is>
          <t>TR-214</t>
        </is>
      </c>
      <c r="N5" s="21" t="inlineStr">
        <is>
          <t>CH-4821</t>
        </is>
      </c>
      <c r="O5" s="23" t="inlineStr">
        <is>
          <t>San Pedro, CA</t>
        </is>
      </c>
      <c r="P5" s="23" t="inlineStr">
        <is>
          <t>Ontario, CA</t>
        </is>
      </c>
      <c r="Q5" s="25" t="n">
        <v>28</v>
      </c>
      <c r="R5" s="25" t="n">
        <v>9</v>
      </c>
      <c r="S5" s="26">
        <f>IF($A5="","",IFERROR(SUM($Q5:$R5),0))</f>
        <v/>
      </c>
      <c r="T5" s="25" t="n">
        <v>7.4</v>
      </c>
      <c r="U5" s="58" t="n">
        <v>725</v>
      </c>
      <c r="V5" s="59">
        <f>IF($A5="","",IFERROR($S5*'Settings'!$B$5,0))</f>
        <v/>
      </c>
      <c r="W5" s="21" t="inlineStr">
        <is>
          <t>Detention</t>
        </is>
      </c>
      <c r="X5" s="29" t="n">
        <v>1.5</v>
      </c>
      <c r="Y5" s="59">
        <f>IF($A5="","",IF(OR($W5="",$W5="None"),0,IFERROR($X5*VLOOKUP($W5,'Settings'!$A$15:$B$114,2,FALSE),0)))</f>
        <v/>
      </c>
      <c r="Z5" s="59">
        <f>IF($A5="","",IFERROR(SUM($U5,$V5,$Y5),0))</f>
        <v/>
      </c>
      <c r="AA5" s="58" t="n">
        <v>260</v>
      </c>
      <c r="AB5" s="59">
        <f>IF($A5="","",IFERROR($T5*'Settings'!$B$4,0))</f>
        <v/>
      </c>
      <c r="AC5" s="58" t="n">
        <v>15</v>
      </c>
      <c r="AD5" s="59">
        <f>IF($A5="","",IFERROR(SUM($AA5,$AB5,$AC5),0))</f>
        <v/>
      </c>
      <c r="AE5" s="59">
        <f>IF($A5="","",IFERROR($Z5-$AD5,0))</f>
        <v/>
      </c>
      <c r="AF5" s="30">
        <f>IF($A5="","",IFERROR($AE5/$Z5,0))</f>
        <v/>
      </c>
      <c r="AG5" s="21" t="inlineStr">
        <is>
          <t>Yes</t>
        </is>
      </c>
      <c r="AH5" s="22" t="n">
        <v>46265</v>
      </c>
      <c r="AI5" s="31">
        <f>IF($A5="","",IF($C5="Delivered",IFERROR(MAX(0,$AH5-$B5),0),IF($C5="Canceled",0,IFERROR(MAX(0,TODAY()-$B5),0))))</f>
        <v/>
      </c>
      <c r="AJ5" s="23" t="inlineStr">
        <is>
          <t>Gate turn completed; signed delivery receipt received.</t>
        </is>
      </c>
    </row>
    <row r="6">
      <c r="A6" s="21" t="inlineStr">
        <is>
          <t>DRY-2609-102</t>
        </is>
      </c>
      <c r="B6" s="22" t="n">
        <v>46266</v>
      </c>
      <c r="C6" s="21" t="inlineStr">
        <is>
          <t>Delivered</t>
        </is>
      </c>
      <c r="D6" s="21" t="inlineStr">
        <is>
          <t>High</t>
        </is>
      </c>
      <c r="E6" s="23" t="inlineStr">
        <is>
          <t>Pacific Home Goods</t>
        </is>
      </c>
      <c r="F6" s="21" t="inlineStr">
        <is>
          <t>APZU3509821</t>
        </is>
      </c>
      <c r="G6" s="21" t="inlineStr">
        <is>
          <t>40' HC</t>
        </is>
      </c>
      <c r="H6" s="21" t="inlineStr">
        <is>
          <t>CMA CGM</t>
        </is>
      </c>
      <c r="I6" s="23" t="inlineStr">
        <is>
          <t>Fenix Marine Services</t>
        </is>
      </c>
      <c r="J6" s="57" t="n">
        <v>46267.3125</v>
      </c>
      <c r="K6" s="57" t="n">
        <v>46267.5</v>
      </c>
      <c r="L6" s="21" t="inlineStr">
        <is>
          <t>Elena Torres</t>
        </is>
      </c>
      <c r="M6" s="21" t="inlineStr">
        <is>
          <t>TR-207</t>
        </is>
      </c>
      <c r="N6" s="21" t="inlineStr">
        <is>
          <t>CH-3914</t>
        </is>
      </c>
      <c r="O6" s="23" t="inlineStr">
        <is>
          <t>San Pedro, CA</t>
        </is>
      </c>
      <c r="P6" s="23" t="inlineStr">
        <is>
          <t>Riverside, CA</t>
        </is>
      </c>
      <c r="Q6" s="25" t="n">
        <v>42</v>
      </c>
      <c r="R6" s="25" t="n">
        <v>12</v>
      </c>
      <c r="S6" s="26">
        <f>IF($A6="","",IFERROR(SUM($Q6:$R6),0))</f>
        <v/>
      </c>
      <c r="T6" s="25" t="n">
        <v>10.2</v>
      </c>
      <c r="U6" s="58" t="n">
        <v>910</v>
      </c>
      <c r="V6" s="59">
        <f>IF($A6="","",IFERROR($S6*'Settings'!$B$5,0))</f>
        <v/>
      </c>
      <c r="W6" s="21" t="inlineStr">
        <is>
          <t>Chassis Split</t>
        </is>
      </c>
      <c r="X6" s="29" t="n">
        <v>1</v>
      </c>
      <c r="Y6" s="59">
        <f>IF($A6="","",IF(OR($W6="",$W6="None"),0,IFERROR($X6*VLOOKUP($W6,'Settings'!$A$15:$B$114,2,FALSE),0)))</f>
        <v/>
      </c>
      <c r="Z6" s="59">
        <f>IF($A6="","",IFERROR(SUM($U6,$V6,$Y6),0))</f>
        <v/>
      </c>
      <c r="AA6" s="58" t="n">
        <v>330</v>
      </c>
      <c r="AB6" s="59">
        <f>IF($A6="","",IFERROR($T6*'Settings'!$B$4,0))</f>
        <v/>
      </c>
      <c r="AC6" s="58" t="n">
        <v>40</v>
      </c>
      <c r="AD6" s="59">
        <f>IF($A6="","",IFERROR(SUM($AA6,$AB6,$AC6),0))</f>
        <v/>
      </c>
      <c r="AE6" s="59">
        <f>IF($A6="","",IFERROR($Z6-$AD6,0))</f>
        <v/>
      </c>
      <c r="AF6" s="30">
        <f>IF($A6="","",IFERROR($AE6/$Z6,0))</f>
        <v/>
      </c>
      <c r="AG6" s="21" t="inlineStr">
        <is>
          <t>No</t>
        </is>
      </c>
      <c r="AH6" s="22" t="n">
        <v>46268</v>
      </c>
      <c r="AI6" s="31">
        <f>IF($A6="","",IF($C6="Delivered",IFERROR(MAX(0,$AH6-$B6),0),IF($C6="Canceled",0,IFERROR(MAX(0,TODAY()-$B6),0))))</f>
        <v/>
      </c>
      <c r="AJ6" s="23" t="inlineStr">
        <is>
          <t>Late delivery after chassis split and customer reschedule.</t>
        </is>
      </c>
    </row>
    <row r="7">
      <c r="A7" s="21" t="inlineStr">
        <is>
          <t>DRY-2609-103</t>
        </is>
      </c>
      <c r="B7" s="22" t="n">
        <v>46271</v>
      </c>
      <c r="C7" s="21" t="inlineStr">
        <is>
          <t>In Transit</t>
        </is>
      </c>
      <c r="D7" s="21" t="inlineStr">
        <is>
          <t>Critical</t>
        </is>
      </c>
      <c r="E7" s="23" t="inlineStr">
        <is>
          <t>Inland Distribution Co.</t>
        </is>
      </c>
      <c r="F7" s="21" t="inlineStr">
        <is>
          <t>MSCU6631094</t>
        </is>
      </c>
      <c r="G7" s="21" t="inlineStr">
        <is>
          <t>20'</t>
        </is>
      </c>
      <c r="H7" s="21" t="inlineStr">
        <is>
          <t>MSC</t>
        </is>
      </c>
      <c r="I7" s="23" t="inlineStr">
        <is>
          <t>Long Beach Container Terminal</t>
        </is>
      </c>
      <c r="J7" s="57" t="n">
        <v>46272.27083333334</v>
      </c>
      <c r="K7" s="57" t="n">
        <v>46272.625</v>
      </c>
      <c r="L7" s="21" t="inlineStr">
        <is>
          <t>Darnell Brooks</t>
        </is>
      </c>
      <c r="M7" s="21" t="inlineStr">
        <is>
          <t>TR-221</t>
        </is>
      </c>
      <c r="N7" s="21" t="inlineStr">
        <is>
          <t>CH-5108</t>
        </is>
      </c>
      <c r="O7" s="23" t="inlineStr">
        <is>
          <t>Long Beach, CA</t>
        </is>
      </c>
      <c r="P7" s="23" t="inlineStr">
        <is>
          <t>Fontana, CA</t>
        </is>
      </c>
      <c r="Q7" s="25" t="n">
        <v>36</v>
      </c>
      <c r="R7" s="25" t="n">
        <v>14</v>
      </c>
      <c r="S7" s="26">
        <f>IF($A7="","",IFERROR(SUM($Q7:$R7),0))</f>
        <v/>
      </c>
      <c r="T7" s="25" t="n">
        <v>9.800000000000001</v>
      </c>
      <c r="U7" s="58" t="n">
        <v>875</v>
      </c>
      <c r="V7" s="59">
        <f>IF($A7="","",IFERROR($S7*'Settings'!$B$5,0))</f>
        <v/>
      </c>
      <c r="W7" s="21" t="inlineStr">
        <is>
          <t>Pre-Pull</t>
        </is>
      </c>
      <c r="X7" s="29" t="n">
        <v>1</v>
      </c>
      <c r="Y7" s="59">
        <f>IF($A7="","",IF(OR($W7="",$W7="None"),0,IFERROR($X7*VLOOKUP($W7,'Settings'!$A$15:$B$114,2,FALSE),0)))</f>
        <v/>
      </c>
      <c r="Z7" s="59">
        <f>IF($A7="","",IFERROR(SUM($U7,$V7,$Y7),0))</f>
        <v/>
      </c>
      <c r="AA7" s="58" t="n">
        <v>320</v>
      </c>
      <c r="AB7" s="59">
        <f>IF($A7="","",IFERROR($T7*'Settings'!$B$4,0))</f>
        <v/>
      </c>
      <c r="AC7" s="58" t="n">
        <v>20</v>
      </c>
      <c r="AD7" s="59">
        <f>IF($A7="","",IFERROR(SUM($AA7,$AB7,$AC7),0))</f>
        <v/>
      </c>
      <c r="AE7" s="59">
        <f>IF($A7="","",IFERROR($Z7-$AD7,0))</f>
        <v/>
      </c>
      <c r="AF7" s="30">
        <f>IF($A7="","",IFERROR($AE7/$Z7,0))</f>
        <v/>
      </c>
      <c r="AG7" s="21" t="inlineStr"/>
      <c r="AH7" s="22" t="n"/>
      <c r="AI7" s="31">
        <f>IF($A7="","",IF($C7="Delivered",IFERROR(MAX(0,$AH7-$B7),0),IF($C7="Canceled",0,IFERROR(MAX(0,TODAY()-$B7),0))))</f>
        <v/>
      </c>
      <c r="AJ7" s="23" t="inlineStr">
        <is>
          <t>Driver departed terminal; delivery appointment confirmed.</t>
        </is>
      </c>
    </row>
    <row r="8">
      <c r="A8" s="21" t="inlineStr">
        <is>
          <t>DRY-2609-104</t>
        </is>
      </c>
      <c r="B8" s="22" t="n">
        <v>46272</v>
      </c>
      <c r="C8" s="21" t="inlineStr">
        <is>
          <t>At Terminal</t>
        </is>
      </c>
      <c r="D8" s="21" t="inlineStr">
        <is>
          <t>High</t>
        </is>
      </c>
      <c r="E8" s="23" t="inlineStr">
        <is>
          <t>Westline Imports</t>
        </is>
      </c>
      <c r="F8" s="21" t="inlineStr">
        <is>
          <t>OOLU9041763</t>
        </is>
      </c>
      <c r="G8" s="21" t="inlineStr">
        <is>
          <t>40'</t>
        </is>
      </c>
      <c r="H8" s="21" t="inlineStr">
        <is>
          <t>COSCO</t>
        </is>
      </c>
      <c r="I8" s="23" t="inlineStr">
        <is>
          <t>TraPac Los Angeles</t>
        </is>
      </c>
      <c r="J8" s="57" t="n">
        <v>46272.41666666666</v>
      </c>
      <c r="K8" s="57" t="n">
        <v>46272.6875</v>
      </c>
      <c r="L8" s="21" t="inlineStr">
        <is>
          <t>Sofia Nguyen</t>
        </is>
      </c>
      <c r="M8" s="21" t="inlineStr">
        <is>
          <t>TR-198</t>
        </is>
      </c>
      <c r="N8" s="21" t="inlineStr">
        <is>
          <t>CH-4470</t>
        </is>
      </c>
      <c r="O8" s="23" t="inlineStr">
        <is>
          <t>Wilmington, CA</t>
        </is>
      </c>
      <c r="P8" s="23" t="inlineStr">
        <is>
          <t>Carson, CA</t>
        </is>
      </c>
      <c r="Q8" s="25" t="n">
        <v>22</v>
      </c>
      <c r="R8" s="25" t="n">
        <v>8</v>
      </c>
      <c r="S8" s="26">
        <f>IF($A8="","",IFERROR(SUM($Q8:$R8),0))</f>
        <v/>
      </c>
      <c r="T8" s="25" t="n">
        <v>0</v>
      </c>
      <c r="U8" s="58" t="n">
        <v>680</v>
      </c>
      <c r="V8" s="59">
        <f>IF($A8="","",IFERROR($S8*'Settings'!$B$5,0))</f>
        <v/>
      </c>
      <c r="W8" s="21" t="inlineStr">
        <is>
          <t>None</t>
        </is>
      </c>
      <c r="X8" s="29" t="n">
        <v>0</v>
      </c>
      <c r="Y8" s="59">
        <f>IF($A8="","",IF(OR($W8="",$W8="None"),0,IFERROR($X8*VLOOKUP($W8,'Settings'!$A$15:$B$114,2,FALSE),0)))</f>
        <v/>
      </c>
      <c r="Z8" s="59">
        <f>IF($A8="","",IFERROR(SUM($U8,$V8,$Y8),0))</f>
        <v/>
      </c>
      <c r="AA8" s="58" t="n">
        <v>250</v>
      </c>
      <c r="AB8" s="59">
        <f>IF($A8="","",IFERROR($T8*'Settings'!$B$4,0))</f>
        <v/>
      </c>
      <c r="AC8" s="58" t="n">
        <v>0</v>
      </c>
      <c r="AD8" s="59">
        <f>IF($A8="","",IFERROR(SUM($AA8,$AB8,$AC8),0))</f>
        <v/>
      </c>
      <c r="AE8" s="59">
        <f>IF($A8="","",IFERROR($Z8-$AD8,0))</f>
        <v/>
      </c>
      <c r="AF8" s="30">
        <f>IF($A8="","",IFERROR($AE8/$Z8,0))</f>
        <v/>
      </c>
      <c r="AG8" s="21" t="inlineStr"/>
      <c r="AH8" s="22" t="n"/>
      <c r="AI8" s="31">
        <f>IF($A8="","",IF($C8="Delivered",IFERROR(MAX(0,$AH8-$B8),0),IF($C8="Canceled",0,IFERROR(MAX(0,TODAY()-$B8),0))))</f>
        <v/>
      </c>
      <c r="AJ8" s="23" t="inlineStr">
        <is>
          <t>Driver checked in; waiting for container availability.</t>
        </is>
      </c>
    </row>
    <row r="9">
      <c r="A9" s="21" t="inlineStr">
        <is>
          <t>DRY-2609-105</t>
        </is>
      </c>
      <c r="B9" s="22" t="n">
        <v>46273</v>
      </c>
      <c r="C9" s="21" t="inlineStr">
        <is>
          <t>Scheduled</t>
        </is>
      </c>
      <c r="D9" s="21" t="inlineStr">
        <is>
          <t>Standard</t>
        </is>
      </c>
      <c r="E9" s="23" t="inlineStr">
        <is>
          <t>Summit Outdoor Supply</t>
        </is>
      </c>
      <c r="F9" s="21" t="inlineStr">
        <is>
          <t>EISU5824107</t>
        </is>
      </c>
      <c r="G9" s="21" t="inlineStr">
        <is>
          <t>40' HC</t>
        </is>
      </c>
      <c r="H9" s="21" t="inlineStr">
        <is>
          <t>Evergreen</t>
        </is>
      </c>
      <c r="I9" s="23" t="inlineStr">
        <is>
          <t>Pier T</t>
        </is>
      </c>
      <c r="J9" s="57" t="n">
        <v>46273.375</v>
      </c>
      <c r="K9" s="57" t="n">
        <v>46273.60416666666</v>
      </c>
      <c r="L9" s="21" t="inlineStr">
        <is>
          <t>Caleb Johnson</t>
        </is>
      </c>
      <c r="M9" s="21" t="inlineStr">
        <is>
          <t>TR-225</t>
        </is>
      </c>
      <c r="N9" s="21" t="inlineStr">
        <is>
          <t>CH-5244</t>
        </is>
      </c>
      <c r="O9" s="23" t="inlineStr">
        <is>
          <t>Long Beach, CA</t>
        </is>
      </c>
      <c r="P9" s="23" t="inlineStr">
        <is>
          <t>Anaheim, CA</t>
        </is>
      </c>
      <c r="Q9" s="25" t="n">
        <v>31</v>
      </c>
      <c r="R9" s="25" t="n">
        <v>10</v>
      </c>
      <c r="S9" s="26">
        <f>IF($A9="","",IFERROR(SUM($Q9:$R9),0))</f>
        <v/>
      </c>
      <c r="T9" s="25" t="n">
        <v>0</v>
      </c>
      <c r="U9" s="58" t="n">
        <v>760</v>
      </c>
      <c r="V9" s="59">
        <f>IF($A9="","",IFERROR($S9*'Settings'!$B$5,0))</f>
        <v/>
      </c>
      <c r="W9" s="21" t="inlineStr">
        <is>
          <t>None</t>
        </is>
      </c>
      <c r="X9" s="29" t="n">
        <v>0</v>
      </c>
      <c r="Y9" s="59">
        <f>IF($A9="","",IF(OR($W9="",$W9="None"),0,IFERROR($X9*VLOOKUP($W9,'Settings'!$A$15:$B$114,2,FALSE),0)))</f>
        <v/>
      </c>
      <c r="Z9" s="59">
        <f>IF($A9="","",IFERROR(SUM($U9,$V9,$Y9),0))</f>
        <v/>
      </c>
      <c r="AA9" s="58" t="n">
        <v>275</v>
      </c>
      <c r="AB9" s="59">
        <f>IF($A9="","",IFERROR($T9*'Settings'!$B$4,0))</f>
        <v/>
      </c>
      <c r="AC9" s="58" t="n">
        <v>0</v>
      </c>
      <c r="AD9" s="59">
        <f>IF($A9="","",IFERROR(SUM($AA9,$AB9,$AC9),0))</f>
        <v/>
      </c>
      <c r="AE9" s="59">
        <f>IF($A9="","",IFERROR($Z9-$AD9,0))</f>
        <v/>
      </c>
      <c r="AF9" s="30">
        <f>IF($A9="","",IFERROR($AE9/$Z9,0))</f>
        <v/>
      </c>
      <c r="AG9" s="21" t="inlineStr"/>
      <c r="AH9" s="22" t="n"/>
      <c r="AI9" s="31">
        <f>IF($A9="","",IF($C9="Delivered",IFERROR(MAX(0,$AH9-$B9),0),IF($C9="Canceled",0,IFERROR(MAX(0,TODAY()-$B9),0))))</f>
        <v/>
      </c>
      <c r="AJ9" s="23" t="inlineStr">
        <is>
          <t>Appointment numbers verified with terminal and receiver.</t>
        </is>
      </c>
    </row>
    <row r="10">
      <c r="A10" s="21" t="inlineStr">
        <is>
          <t>DRY-2609-106</t>
        </is>
      </c>
      <c r="B10" s="22" t="n">
        <v>46269</v>
      </c>
      <c r="C10" s="21" t="inlineStr">
        <is>
          <t>Exception</t>
        </is>
      </c>
      <c r="D10" s="21" t="inlineStr">
        <is>
          <t>Critical</t>
        </is>
      </c>
      <c r="E10" s="23" t="inlineStr">
        <is>
          <t>Metro Food Service</t>
        </is>
      </c>
      <c r="F10" s="21" t="inlineStr">
        <is>
          <t>HLXU4472805</t>
        </is>
      </c>
      <c r="G10" s="21" t="inlineStr">
        <is>
          <t>20'</t>
        </is>
      </c>
      <c r="H10" s="21" t="inlineStr">
        <is>
          <t>Hapag-Lloyd</t>
        </is>
      </c>
      <c r="I10" s="23" t="inlineStr">
        <is>
          <t>SSA Marine Pier A</t>
        </is>
      </c>
      <c r="J10" s="57" t="n">
        <v>46270.45833333334</v>
      </c>
      <c r="K10" s="57" t="n">
        <v>46270.70833333334</v>
      </c>
      <c r="L10" s="21" t="inlineStr">
        <is>
          <t>Jordan Kim</t>
        </is>
      </c>
      <c r="M10" s="21" t="inlineStr">
        <is>
          <t>TR-203</t>
        </is>
      </c>
      <c r="N10" s="21" t="inlineStr">
        <is>
          <t>CH-4766</t>
        </is>
      </c>
      <c r="O10" s="23" t="inlineStr">
        <is>
          <t>Long Beach, CA</t>
        </is>
      </c>
      <c r="P10" s="23" t="inlineStr">
        <is>
          <t>Vernon, CA</t>
        </is>
      </c>
      <c r="Q10" s="25" t="n">
        <v>18</v>
      </c>
      <c r="R10" s="25" t="n">
        <v>20</v>
      </c>
      <c r="S10" s="26">
        <f>IF($A10="","",IFERROR(SUM($Q10:$R10),0))</f>
        <v/>
      </c>
      <c r="T10" s="25" t="n">
        <v>8.5</v>
      </c>
      <c r="U10" s="58" t="n">
        <v>640</v>
      </c>
      <c r="V10" s="59">
        <f>IF($A10="","",IFERROR($S10*'Settings'!$B$5,0))</f>
        <v/>
      </c>
      <c r="W10" s="21" t="inlineStr">
        <is>
          <t>Storage</t>
        </is>
      </c>
      <c r="X10" s="29" t="n">
        <v>2</v>
      </c>
      <c r="Y10" s="59">
        <f>IF($A10="","",IF(OR($W10="",$W10="None"),0,IFERROR($X10*VLOOKUP($W10,'Settings'!$A$15:$B$114,2,FALSE),0)))</f>
        <v/>
      </c>
      <c r="Z10" s="59">
        <f>IF($A10="","",IFERROR(SUM($U10,$V10,$Y10),0))</f>
        <v/>
      </c>
      <c r="AA10" s="58" t="n">
        <v>250</v>
      </c>
      <c r="AB10" s="59">
        <f>IF($A10="","",IFERROR($T10*'Settings'!$B$4,0))</f>
        <v/>
      </c>
      <c r="AC10" s="58" t="n">
        <v>75</v>
      </c>
      <c r="AD10" s="59">
        <f>IF($A10="","",IFERROR(SUM($AA10,$AB10,$AC10),0))</f>
        <v/>
      </c>
      <c r="AE10" s="59">
        <f>IF($A10="","",IFERROR($Z10-$AD10,0))</f>
        <v/>
      </c>
      <c r="AF10" s="30">
        <f>IF($A10="","",IFERROR($AE10/$Z10,0))</f>
        <v/>
      </c>
      <c r="AG10" s="21" t="inlineStr"/>
      <c r="AH10" s="22" t="n"/>
      <c r="AI10" s="31">
        <f>IF($A10="","",IF($C10="Delivered",IFERROR(MAX(0,$AH10-$B10),0),IF($C10="Canceled",0,IFERROR(MAX(0,TODAY()-$B10),0))))</f>
        <v/>
      </c>
      <c r="AJ10" s="23" t="inlineStr">
        <is>
          <t>Container on hold; dispatcher follow-up required.</t>
        </is>
      </c>
    </row>
    <row r="11">
      <c r="A11" s="21" t="inlineStr">
        <is>
          <t>DRY-2609-107</t>
        </is>
      </c>
      <c r="B11" s="22" t="n">
        <v>46272</v>
      </c>
      <c r="C11" s="21" t="inlineStr">
        <is>
          <t>Dispatched</t>
        </is>
      </c>
      <c r="D11" s="21" t="inlineStr">
        <is>
          <t>High</t>
        </is>
      </c>
      <c r="E11" s="23" t="inlineStr">
        <is>
          <t>Canyon Auto Parts</t>
        </is>
      </c>
      <c r="F11" s="21" t="inlineStr">
        <is>
          <t>YMLU7301948</t>
        </is>
      </c>
      <c r="G11" s="21" t="inlineStr">
        <is>
          <t>45'</t>
        </is>
      </c>
      <c r="H11" s="21" t="inlineStr">
        <is>
          <t>Yang Ming</t>
        </is>
      </c>
      <c r="I11" s="23" t="inlineStr">
        <is>
          <t>Total Terminals International</t>
        </is>
      </c>
      <c r="J11" s="57" t="n">
        <v>46273.22916666666</v>
      </c>
      <c r="K11" s="57" t="n">
        <v>46273.54166666666</v>
      </c>
      <c r="L11" s="21" t="inlineStr">
        <is>
          <t>Avery Williams</t>
        </is>
      </c>
      <c r="M11" s="21" t="inlineStr">
        <is>
          <t>TR-219</t>
        </is>
      </c>
      <c r="N11" s="21" t="inlineStr">
        <is>
          <t>CH-5029</t>
        </is>
      </c>
      <c r="O11" s="23" t="inlineStr">
        <is>
          <t>Long Beach, CA</t>
        </is>
      </c>
      <c r="P11" s="23" t="inlineStr">
        <is>
          <t>Rancho Cucamonga, CA</t>
        </is>
      </c>
      <c r="Q11" s="25" t="n">
        <v>48</v>
      </c>
      <c r="R11" s="25" t="n">
        <v>11</v>
      </c>
      <c r="S11" s="26">
        <f>IF($A11="","",IFERROR(SUM($Q11:$R11),0))</f>
        <v/>
      </c>
      <c r="T11" s="25" t="n">
        <v>0</v>
      </c>
      <c r="U11" s="58" t="n">
        <v>980</v>
      </c>
      <c r="V11" s="59">
        <f>IF($A11="","",IFERROR($S11*'Settings'!$B$5,0))</f>
        <v/>
      </c>
      <c r="W11" s="21" t="inlineStr">
        <is>
          <t>None</t>
        </is>
      </c>
      <c r="X11" s="29" t="n">
        <v>0</v>
      </c>
      <c r="Y11" s="59">
        <f>IF($A11="","",IF(OR($W11="",$W11="None"),0,IFERROR($X11*VLOOKUP($W11,'Settings'!$A$15:$B$114,2,FALSE),0)))</f>
        <v/>
      </c>
      <c r="Z11" s="59">
        <f>IF($A11="","",IFERROR(SUM($U11,$V11,$Y11),0))</f>
        <v/>
      </c>
      <c r="AA11" s="58" t="n">
        <v>350</v>
      </c>
      <c r="AB11" s="59">
        <f>IF($A11="","",IFERROR($T11*'Settings'!$B$4,0))</f>
        <v/>
      </c>
      <c r="AC11" s="58" t="n">
        <v>25</v>
      </c>
      <c r="AD11" s="59">
        <f>IF($A11="","",IFERROR(SUM($AA11,$AB11,$AC11),0))</f>
        <v/>
      </c>
      <c r="AE11" s="59">
        <f>IF($A11="","",IFERROR($Z11-$AD11,0))</f>
        <v/>
      </c>
      <c r="AF11" s="30">
        <f>IF($A11="","",IFERROR($AE11/$Z11,0))</f>
        <v/>
      </c>
      <c r="AG11" s="21" t="inlineStr"/>
      <c r="AH11" s="22" t="n"/>
      <c r="AI11" s="31">
        <f>IF($A11="","",IF($C11="Delivered",IFERROR(MAX(0,$AH11-$B11),0),IF($C11="Canceled",0,IFERROR(MAX(0,TODAY()-$B11),0))))</f>
        <v/>
      </c>
      <c r="AJ11" s="23" t="inlineStr">
        <is>
          <t>Driver assignment sent; verify empty return location.</t>
        </is>
      </c>
    </row>
    <row r="12">
      <c r="A12" s="21" t="inlineStr">
        <is>
          <t>DRY-2609-108</t>
        </is>
      </c>
      <c r="B12" s="22" t="n">
        <v>46260</v>
      </c>
      <c r="C12" s="21" t="inlineStr">
        <is>
          <t>Delivered</t>
        </is>
      </c>
      <c r="D12" s="21" t="inlineStr">
        <is>
          <t>Standard</t>
        </is>
      </c>
      <c r="E12" s="23" t="inlineStr">
        <is>
          <t>Golden State Fixtures</t>
        </is>
      </c>
      <c r="F12" s="21" t="inlineStr">
        <is>
          <t>ONEU2849076</t>
        </is>
      </c>
      <c r="G12" s="21" t="inlineStr">
        <is>
          <t>40'</t>
        </is>
      </c>
      <c r="H12" s="21" t="inlineStr">
        <is>
          <t>ONE</t>
        </is>
      </c>
      <c r="I12" s="23" t="inlineStr">
        <is>
          <t>Long Beach Container Terminal</t>
        </is>
      </c>
      <c r="J12" s="57" t="n">
        <v>46261.35416666666</v>
      </c>
      <c r="K12" s="57" t="n">
        <v>46261.58333333334</v>
      </c>
      <c r="L12" s="21" t="inlineStr">
        <is>
          <t>Luis Martinez</t>
        </is>
      </c>
      <c r="M12" s="21" t="inlineStr">
        <is>
          <t>TR-211</t>
        </is>
      </c>
      <c r="N12" s="21" t="inlineStr">
        <is>
          <t>CH-4895</t>
        </is>
      </c>
      <c r="O12" s="23" t="inlineStr">
        <is>
          <t>Long Beach, CA</t>
        </is>
      </c>
      <c r="P12" s="23" t="inlineStr">
        <is>
          <t>Commerce, CA</t>
        </is>
      </c>
      <c r="Q12" s="25" t="n">
        <v>27</v>
      </c>
      <c r="R12" s="25" t="n">
        <v>7</v>
      </c>
      <c r="S12" s="26">
        <f>IF($A12="","",IFERROR(SUM($Q12:$R12),0))</f>
        <v/>
      </c>
      <c r="T12" s="25" t="n">
        <v>7</v>
      </c>
      <c r="U12" s="58" t="n">
        <v>700</v>
      </c>
      <c r="V12" s="59">
        <f>IF($A12="","",IFERROR($S12*'Settings'!$B$5,0))</f>
        <v/>
      </c>
      <c r="W12" s="21" t="inlineStr">
        <is>
          <t>Scale Ticket</t>
        </is>
      </c>
      <c r="X12" s="29" t="n">
        <v>1</v>
      </c>
      <c r="Y12" s="59">
        <f>IF($A12="","",IF(OR($W12="",$W12="None"),0,IFERROR($X12*VLOOKUP($W12,'Settings'!$A$15:$B$114,2,FALSE),0)))</f>
        <v/>
      </c>
      <c r="Z12" s="59">
        <f>IF($A12="","",IFERROR(SUM($U12,$V12,$Y12),0))</f>
        <v/>
      </c>
      <c r="AA12" s="58" t="n">
        <v>255</v>
      </c>
      <c r="AB12" s="59">
        <f>IF($A12="","",IFERROR($T12*'Settings'!$B$4,0))</f>
        <v/>
      </c>
      <c r="AC12" s="58" t="n">
        <v>10</v>
      </c>
      <c r="AD12" s="59">
        <f>IF($A12="","",IFERROR(SUM($AA12,$AB12,$AC12),0))</f>
        <v/>
      </c>
      <c r="AE12" s="59">
        <f>IF($A12="","",IFERROR($Z12-$AD12,0))</f>
        <v/>
      </c>
      <c r="AF12" s="30">
        <f>IF($A12="","",IFERROR($AE12/$Z12,0))</f>
        <v/>
      </c>
      <c r="AG12" s="21" t="inlineStr">
        <is>
          <t>Yes</t>
        </is>
      </c>
      <c r="AH12" s="22" t="n">
        <v>46261</v>
      </c>
      <c r="AI12" s="31">
        <f>IF($A12="","",IF($C12="Delivered",IFERROR(MAX(0,$AH12-$B12),0),IF($C12="Canceled",0,IFERROR(MAX(0,TODAY()-$B12),0))))</f>
        <v/>
      </c>
      <c r="AJ12" s="23" t="inlineStr">
        <is>
          <t>Completed with scale ticket attached to load paperwork.</t>
        </is>
      </c>
    </row>
    <row r="13">
      <c r="A13" s="21" t="inlineStr">
        <is>
          <t>DRY-2609-109</t>
        </is>
      </c>
      <c r="B13" s="22" t="n">
        <v>46270</v>
      </c>
      <c r="C13" s="21" t="inlineStr">
        <is>
          <t>Canceled</t>
        </is>
      </c>
      <c r="D13" s="21" t="inlineStr">
        <is>
          <t>Standard</t>
        </is>
      </c>
      <c r="E13" s="23" t="inlineStr">
        <is>
          <t>Northstar Packaging</t>
        </is>
      </c>
      <c r="F13" s="21" t="inlineStr">
        <is>
          <t>CMAU9182634</t>
        </is>
      </c>
      <c r="G13" s="21" t="inlineStr">
        <is>
          <t>40' HC</t>
        </is>
      </c>
      <c r="H13" s="21" t="inlineStr">
        <is>
          <t>CMA CGM</t>
        </is>
      </c>
      <c r="I13" s="23" t="inlineStr">
        <is>
          <t>Fenix Marine Services</t>
        </is>
      </c>
      <c r="J13" s="57" t="n">
        <v>46271.5</v>
      </c>
      <c r="K13" s="57" t="n">
        <v>46271.72916666666</v>
      </c>
      <c r="L13" s="21" t="inlineStr"/>
      <c r="M13" s="21" t="inlineStr"/>
      <c r="N13" s="21" t="inlineStr"/>
      <c r="O13" s="23" t="inlineStr">
        <is>
          <t>San Pedro, CA</t>
        </is>
      </c>
      <c r="P13" s="23" t="inlineStr">
        <is>
          <t>Santa Fe Springs, CA</t>
        </is>
      </c>
      <c r="Q13" s="25" t="n">
        <v>0</v>
      </c>
      <c r="R13" s="25" t="n">
        <v>0</v>
      </c>
      <c r="S13" s="26">
        <f>IF($A13="","",IFERROR(SUM($Q13:$R13),0))</f>
        <v/>
      </c>
      <c r="T13" s="25" t="n">
        <v>0</v>
      </c>
      <c r="U13" s="58" t="n">
        <v>0</v>
      </c>
      <c r="V13" s="59">
        <f>IF($A13="","",IFERROR($S13*'Settings'!$B$5,0))</f>
        <v/>
      </c>
      <c r="W13" s="21" t="inlineStr">
        <is>
          <t>None</t>
        </is>
      </c>
      <c r="X13" s="29" t="n">
        <v>0</v>
      </c>
      <c r="Y13" s="59">
        <f>IF($A13="","",IF(OR($W13="",$W13="None"),0,IFERROR($X13*VLOOKUP($W13,'Settings'!$A$15:$B$114,2,FALSE),0)))</f>
        <v/>
      </c>
      <c r="Z13" s="59">
        <f>IF($A13="","",IFERROR(SUM($U13,$V13,$Y13),0))</f>
        <v/>
      </c>
      <c r="AA13" s="58" t="n">
        <v>0</v>
      </c>
      <c r="AB13" s="59">
        <f>IF($A13="","",IFERROR($T13*'Settings'!$B$4,0))</f>
        <v/>
      </c>
      <c r="AC13" s="58" t="n">
        <v>0</v>
      </c>
      <c r="AD13" s="59">
        <f>IF($A13="","",IFERROR(SUM($AA13,$AB13,$AC13),0))</f>
        <v/>
      </c>
      <c r="AE13" s="59">
        <f>IF($A13="","",IFERROR($Z13-$AD13,0))</f>
        <v/>
      </c>
      <c r="AF13" s="30">
        <f>IF($A13="","",IFERROR($AE13/$Z13,0))</f>
        <v/>
      </c>
      <c r="AG13" s="21" t="inlineStr"/>
      <c r="AH13" s="22" t="n"/>
      <c r="AI13" s="31">
        <f>IF($A13="","",IF($C13="Delivered",IFERROR(MAX(0,$AH13-$B13),0),IF($C13="Canceled",0,IFERROR(MAX(0,TODAY()-$B13),0))))</f>
        <v/>
      </c>
      <c r="AJ13" s="23" t="inlineStr">
        <is>
          <t>Canceled by customer before driver dispatch.</t>
        </is>
      </c>
    </row>
    <row r="14">
      <c r="A14" s="32" t="n"/>
      <c r="B14" s="33" t="n"/>
      <c r="C14" s="32" t="n"/>
      <c r="D14" s="32" t="n"/>
      <c r="E14" s="34" t="n"/>
      <c r="F14" s="32" t="n"/>
      <c r="G14" s="32" t="n"/>
      <c r="H14" s="32" t="n"/>
      <c r="I14" s="34" t="n"/>
      <c r="J14" s="60" t="n"/>
      <c r="K14" s="60" t="n"/>
      <c r="L14" s="32" t="n"/>
      <c r="M14" s="32" t="n"/>
      <c r="N14" s="32" t="n"/>
      <c r="O14" s="34" t="n"/>
      <c r="P14" s="34" t="n"/>
      <c r="Q14" s="36" t="n"/>
      <c r="R14" s="36" t="n"/>
      <c r="S14" s="36">
        <f>IF($A14="","",IFERROR(SUM($Q14:$R14),0))</f>
        <v/>
      </c>
      <c r="T14" s="36" t="n"/>
      <c r="U14" s="61" t="n"/>
      <c r="V14" s="61">
        <f>IF($A14="","",IFERROR($S14*'Settings'!$B$5,0))</f>
        <v/>
      </c>
      <c r="W14" s="32" t="n"/>
      <c r="X14" s="38" t="n"/>
      <c r="Y14" s="61">
        <f>IF($A14="","",IF(OR($W14="",$W14="None"),0,IFERROR($X14*VLOOKUP($W14,'Settings'!$A$15:$B$114,2,FALSE),0)))</f>
        <v/>
      </c>
      <c r="Z14" s="61">
        <f>IF($A14="","",IFERROR(SUM($U14,$V14,$Y14),0))</f>
        <v/>
      </c>
      <c r="AA14" s="61" t="n"/>
      <c r="AB14" s="61">
        <f>IF($A14="","",IFERROR($T14*'Settings'!$B$4,0))</f>
        <v/>
      </c>
      <c r="AC14" s="61" t="n"/>
      <c r="AD14" s="61">
        <f>IF($A14="","",IFERROR(SUM($AA14,$AB14,$AC14),0))</f>
        <v/>
      </c>
      <c r="AE14" s="61">
        <f>IF($A14="","",IFERROR($Z14-$AD14,0))</f>
        <v/>
      </c>
      <c r="AF14" s="39">
        <f>IF($A14="","",IFERROR($AE14/$Z14,0))</f>
        <v/>
      </c>
      <c r="AG14" s="32" t="n"/>
      <c r="AH14" s="33" t="n"/>
      <c r="AI14" s="40">
        <f>IF($A14="","",IF($C14="Delivered",IFERROR(MAX(0,$AH14-$B14),0),IF($C14="Canceled",0,IFERROR(MAX(0,TODAY()-$B14),0))))</f>
        <v/>
      </c>
      <c r="AJ14" s="34" t="n"/>
    </row>
    <row r="15">
      <c r="A15" s="32" t="n"/>
      <c r="B15" s="33" t="n"/>
      <c r="C15" s="32" t="n"/>
      <c r="D15" s="32" t="n"/>
      <c r="E15" s="34" t="n"/>
      <c r="F15" s="32" t="n"/>
      <c r="G15" s="32" t="n"/>
      <c r="H15" s="32" t="n"/>
      <c r="I15" s="34" t="n"/>
      <c r="J15" s="60" t="n"/>
      <c r="K15" s="60" t="n"/>
      <c r="L15" s="32" t="n"/>
      <c r="M15" s="32" t="n"/>
      <c r="N15" s="32" t="n"/>
      <c r="O15" s="34" t="n"/>
      <c r="P15" s="34" t="n"/>
      <c r="Q15" s="36" t="n"/>
      <c r="R15" s="36" t="n"/>
      <c r="S15" s="36">
        <f>IF($A15="","",IFERROR(SUM($Q15:$R15),0))</f>
        <v/>
      </c>
      <c r="T15" s="36" t="n"/>
      <c r="U15" s="61" t="n"/>
      <c r="V15" s="61">
        <f>IF($A15="","",IFERROR($S15*'Settings'!$B$5,0))</f>
        <v/>
      </c>
      <c r="W15" s="32" t="n"/>
      <c r="X15" s="38" t="n"/>
      <c r="Y15" s="61">
        <f>IF($A15="","",IF(OR($W15="",$W15="None"),0,IFERROR($X15*VLOOKUP($W15,'Settings'!$A$15:$B$114,2,FALSE),0)))</f>
        <v/>
      </c>
      <c r="Z15" s="61">
        <f>IF($A15="","",IFERROR(SUM($U15,$V15,$Y15),0))</f>
        <v/>
      </c>
      <c r="AA15" s="61" t="n"/>
      <c r="AB15" s="61">
        <f>IF($A15="","",IFERROR($T15*'Settings'!$B$4,0))</f>
        <v/>
      </c>
      <c r="AC15" s="61" t="n"/>
      <c r="AD15" s="61">
        <f>IF($A15="","",IFERROR(SUM($AA15,$AB15,$AC15),0))</f>
        <v/>
      </c>
      <c r="AE15" s="61">
        <f>IF($A15="","",IFERROR($Z15-$AD15,0))</f>
        <v/>
      </c>
      <c r="AF15" s="39">
        <f>IF($A15="","",IFERROR($AE15/$Z15,0))</f>
        <v/>
      </c>
      <c r="AG15" s="32" t="n"/>
      <c r="AH15" s="33" t="n"/>
      <c r="AI15" s="40">
        <f>IF($A15="","",IF($C15="Delivered",IFERROR(MAX(0,$AH15-$B15),0),IF($C15="Canceled",0,IFERROR(MAX(0,TODAY()-$B15),0))))</f>
        <v/>
      </c>
      <c r="AJ15" s="34" t="n"/>
    </row>
    <row r="16">
      <c r="A16" s="32" t="n"/>
      <c r="B16" s="33" t="n"/>
      <c r="C16" s="32" t="n"/>
      <c r="D16" s="32" t="n"/>
      <c r="E16" s="34" t="n"/>
      <c r="F16" s="32" t="n"/>
      <c r="G16" s="32" t="n"/>
      <c r="H16" s="32" t="n"/>
      <c r="I16" s="34" t="n"/>
      <c r="J16" s="60" t="n"/>
      <c r="K16" s="60" t="n"/>
      <c r="L16" s="32" t="n"/>
      <c r="M16" s="32" t="n"/>
      <c r="N16" s="32" t="n"/>
      <c r="O16" s="34" t="n"/>
      <c r="P16" s="34" t="n"/>
      <c r="Q16" s="36" t="n"/>
      <c r="R16" s="36" t="n"/>
      <c r="S16" s="36">
        <f>IF($A16="","",IFERROR(SUM($Q16:$R16),0))</f>
        <v/>
      </c>
      <c r="T16" s="36" t="n"/>
      <c r="U16" s="61" t="n"/>
      <c r="V16" s="61">
        <f>IF($A16="","",IFERROR($S16*'Settings'!$B$5,0))</f>
        <v/>
      </c>
      <c r="W16" s="32" t="n"/>
      <c r="X16" s="38" t="n"/>
      <c r="Y16" s="61">
        <f>IF($A16="","",IF(OR($W16="",$W16="None"),0,IFERROR($X16*VLOOKUP($W16,'Settings'!$A$15:$B$114,2,FALSE),0)))</f>
        <v/>
      </c>
      <c r="Z16" s="61">
        <f>IF($A16="","",IFERROR(SUM($U16,$V16,$Y16),0))</f>
        <v/>
      </c>
      <c r="AA16" s="61" t="n"/>
      <c r="AB16" s="61">
        <f>IF($A16="","",IFERROR($T16*'Settings'!$B$4,0))</f>
        <v/>
      </c>
      <c r="AC16" s="61" t="n"/>
      <c r="AD16" s="61">
        <f>IF($A16="","",IFERROR(SUM($AA16,$AB16,$AC16),0))</f>
        <v/>
      </c>
      <c r="AE16" s="61">
        <f>IF($A16="","",IFERROR($Z16-$AD16,0))</f>
        <v/>
      </c>
      <c r="AF16" s="39">
        <f>IF($A16="","",IFERROR($AE16/$Z16,0))</f>
        <v/>
      </c>
      <c r="AG16" s="32" t="n"/>
      <c r="AH16" s="33" t="n"/>
      <c r="AI16" s="40">
        <f>IF($A16="","",IF($C16="Delivered",IFERROR(MAX(0,$AH16-$B16),0),IF($C16="Canceled",0,IFERROR(MAX(0,TODAY()-$B16),0))))</f>
        <v/>
      </c>
      <c r="AJ16" s="34" t="n"/>
    </row>
    <row r="17">
      <c r="A17" s="32" t="n"/>
      <c r="B17" s="33" t="n"/>
      <c r="C17" s="32" t="n"/>
      <c r="D17" s="32" t="n"/>
      <c r="E17" s="34" t="n"/>
      <c r="F17" s="32" t="n"/>
      <c r="G17" s="32" t="n"/>
      <c r="H17" s="32" t="n"/>
      <c r="I17" s="34" t="n"/>
      <c r="J17" s="60" t="n"/>
      <c r="K17" s="60" t="n"/>
      <c r="L17" s="32" t="n"/>
      <c r="M17" s="32" t="n"/>
      <c r="N17" s="32" t="n"/>
      <c r="O17" s="34" t="n"/>
      <c r="P17" s="34" t="n"/>
      <c r="Q17" s="36" t="n"/>
      <c r="R17" s="36" t="n"/>
      <c r="S17" s="36">
        <f>IF($A17="","",IFERROR(SUM($Q17:$R17),0))</f>
        <v/>
      </c>
      <c r="T17" s="36" t="n"/>
      <c r="U17" s="61" t="n"/>
      <c r="V17" s="61">
        <f>IF($A17="","",IFERROR($S17*'Settings'!$B$5,0))</f>
        <v/>
      </c>
      <c r="W17" s="32" t="n"/>
      <c r="X17" s="38" t="n"/>
      <c r="Y17" s="61">
        <f>IF($A17="","",IF(OR($W17="",$W17="None"),0,IFERROR($X17*VLOOKUP($W17,'Settings'!$A$15:$B$114,2,FALSE),0)))</f>
        <v/>
      </c>
      <c r="Z17" s="61">
        <f>IF($A17="","",IFERROR(SUM($U17,$V17,$Y17),0))</f>
        <v/>
      </c>
      <c r="AA17" s="61" t="n"/>
      <c r="AB17" s="61">
        <f>IF($A17="","",IFERROR($T17*'Settings'!$B$4,0))</f>
        <v/>
      </c>
      <c r="AC17" s="61" t="n"/>
      <c r="AD17" s="61">
        <f>IF($A17="","",IFERROR(SUM($AA17,$AB17,$AC17),0))</f>
        <v/>
      </c>
      <c r="AE17" s="61">
        <f>IF($A17="","",IFERROR($Z17-$AD17,0))</f>
        <v/>
      </c>
      <c r="AF17" s="39">
        <f>IF($A17="","",IFERROR($AE17/$Z17,0))</f>
        <v/>
      </c>
      <c r="AG17" s="32" t="n"/>
      <c r="AH17" s="33" t="n"/>
      <c r="AI17" s="40">
        <f>IF($A17="","",IF($C17="Delivered",IFERROR(MAX(0,$AH17-$B17),0),IF($C17="Canceled",0,IFERROR(MAX(0,TODAY()-$B17),0))))</f>
        <v/>
      </c>
      <c r="AJ17" s="34" t="n"/>
    </row>
    <row r="18">
      <c r="A18" s="32" t="n"/>
      <c r="B18" s="33" t="n"/>
      <c r="C18" s="32" t="n"/>
      <c r="D18" s="32" t="n"/>
      <c r="E18" s="34" t="n"/>
      <c r="F18" s="32" t="n"/>
      <c r="G18" s="32" t="n"/>
      <c r="H18" s="32" t="n"/>
      <c r="I18" s="34" t="n"/>
      <c r="J18" s="60" t="n"/>
      <c r="K18" s="60" t="n"/>
      <c r="L18" s="32" t="n"/>
      <c r="M18" s="32" t="n"/>
      <c r="N18" s="32" t="n"/>
      <c r="O18" s="34" t="n"/>
      <c r="P18" s="34" t="n"/>
      <c r="Q18" s="36" t="n"/>
      <c r="R18" s="36" t="n"/>
      <c r="S18" s="36">
        <f>IF($A18="","",IFERROR(SUM($Q18:$R18),0))</f>
        <v/>
      </c>
      <c r="T18" s="36" t="n"/>
      <c r="U18" s="61" t="n"/>
      <c r="V18" s="61">
        <f>IF($A18="","",IFERROR($S18*'Settings'!$B$5,0))</f>
        <v/>
      </c>
      <c r="W18" s="32" t="n"/>
      <c r="X18" s="38" t="n"/>
      <c r="Y18" s="61">
        <f>IF($A18="","",IF(OR($W18="",$W18="None"),0,IFERROR($X18*VLOOKUP($W18,'Settings'!$A$15:$B$114,2,FALSE),0)))</f>
        <v/>
      </c>
      <c r="Z18" s="61">
        <f>IF($A18="","",IFERROR(SUM($U18,$V18,$Y18),0))</f>
        <v/>
      </c>
      <c r="AA18" s="61" t="n"/>
      <c r="AB18" s="61">
        <f>IF($A18="","",IFERROR($T18*'Settings'!$B$4,0))</f>
        <v/>
      </c>
      <c r="AC18" s="61" t="n"/>
      <c r="AD18" s="61">
        <f>IF($A18="","",IFERROR(SUM($AA18,$AB18,$AC18),0))</f>
        <v/>
      </c>
      <c r="AE18" s="61">
        <f>IF($A18="","",IFERROR($Z18-$AD18,0))</f>
        <v/>
      </c>
      <c r="AF18" s="39">
        <f>IF($A18="","",IFERROR($AE18/$Z18,0))</f>
        <v/>
      </c>
      <c r="AG18" s="32" t="n"/>
      <c r="AH18" s="33" t="n"/>
      <c r="AI18" s="40">
        <f>IF($A18="","",IF($C18="Delivered",IFERROR(MAX(0,$AH18-$B18),0),IF($C18="Canceled",0,IFERROR(MAX(0,TODAY()-$B18),0))))</f>
        <v/>
      </c>
      <c r="AJ18" s="34" t="n"/>
    </row>
    <row r="19">
      <c r="A19" s="32" t="n"/>
      <c r="B19" s="33" t="n"/>
      <c r="C19" s="32" t="n"/>
      <c r="D19" s="32" t="n"/>
      <c r="E19" s="34" t="n"/>
      <c r="F19" s="32" t="n"/>
      <c r="G19" s="32" t="n"/>
      <c r="H19" s="32" t="n"/>
      <c r="I19" s="34" t="n"/>
      <c r="J19" s="60" t="n"/>
      <c r="K19" s="60" t="n"/>
      <c r="L19" s="32" t="n"/>
      <c r="M19" s="32" t="n"/>
      <c r="N19" s="32" t="n"/>
      <c r="O19" s="34" t="n"/>
      <c r="P19" s="34" t="n"/>
      <c r="Q19" s="36" t="n"/>
      <c r="R19" s="36" t="n"/>
      <c r="S19" s="36">
        <f>IF($A19="","",IFERROR(SUM($Q19:$R19),0))</f>
        <v/>
      </c>
      <c r="T19" s="36" t="n"/>
      <c r="U19" s="61" t="n"/>
      <c r="V19" s="61">
        <f>IF($A19="","",IFERROR($S19*'Settings'!$B$5,0))</f>
        <v/>
      </c>
      <c r="W19" s="32" t="n"/>
      <c r="X19" s="38" t="n"/>
      <c r="Y19" s="61">
        <f>IF($A19="","",IF(OR($W19="",$W19="None"),0,IFERROR($X19*VLOOKUP($W19,'Settings'!$A$15:$B$114,2,FALSE),0)))</f>
        <v/>
      </c>
      <c r="Z19" s="61">
        <f>IF($A19="","",IFERROR(SUM($U19,$V19,$Y19),0))</f>
        <v/>
      </c>
      <c r="AA19" s="61" t="n"/>
      <c r="AB19" s="61">
        <f>IF($A19="","",IFERROR($T19*'Settings'!$B$4,0))</f>
        <v/>
      </c>
      <c r="AC19" s="61" t="n"/>
      <c r="AD19" s="61">
        <f>IF($A19="","",IFERROR(SUM($AA19,$AB19,$AC19),0))</f>
        <v/>
      </c>
      <c r="AE19" s="61">
        <f>IF($A19="","",IFERROR($Z19-$AD19,0))</f>
        <v/>
      </c>
      <c r="AF19" s="39">
        <f>IF($A19="","",IFERROR($AE19/$Z19,0))</f>
        <v/>
      </c>
      <c r="AG19" s="32" t="n"/>
      <c r="AH19" s="33" t="n"/>
      <c r="AI19" s="40">
        <f>IF($A19="","",IF($C19="Delivered",IFERROR(MAX(0,$AH19-$B19),0),IF($C19="Canceled",0,IFERROR(MAX(0,TODAY()-$B19),0))))</f>
        <v/>
      </c>
      <c r="AJ19" s="34" t="n"/>
    </row>
    <row r="20">
      <c r="A20" s="32" t="n"/>
      <c r="B20" s="33" t="n"/>
      <c r="C20" s="32" t="n"/>
      <c r="D20" s="32" t="n"/>
      <c r="E20" s="34" t="n"/>
      <c r="F20" s="32" t="n"/>
      <c r="G20" s="32" t="n"/>
      <c r="H20" s="32" t="n"/>
      <c r="I20" s="34" t="n"/>
      <c r="J20" s="60" t="n"/>
      <c r="K20" s="60" t="n"/>
      <c r="L20" s="32" t="n"/>
      <c r="M20" s="32" t="n"/>
      <c r="N20" s="32" t="n"/>
      <c r="O20" s="34" t="n"/>
      <c r="P20" s="34" t="n"/>
      <c r="Q20" s="36" t="n"/>
      <c r="R20" s="36" t="n"/>
      <c r="S20" s="36">
        <f>IF($A20="","",IFERROR(SUM($Q20:$R20),0))</f>
        <v/>
      </c>
      <c r="T20" s="36" t="n"/>
      <c r="U20" s="61" t="n"/>
      <c r="V20" s="61">
        <f>IF($A20="","",IFERROR($S20*'Settings'!$B$5,0))</f>
        <v/>
      </c>
      <c r="W20" s="32" t="n"/>
      <c r="X20" s="38" t="n"/>
      <c r="Y20" s="61">
        <f>IF($A20="","",IF(OR($W20="",$W20="None"),0,IFERROR($X20*VLOOKUP($W20,'Settings'!$A$15:$B$114,2,FALSE),0)))</f>
        <v/>
      </c>
      <c r="Z20" s="61">
        <f>IF($A20="","",IFERROR(SUM($U20,$V20,$Y20),0))</f>
        <v/>
      </c>
      <c r="AA20" s="61" t="n"/>
      <c r="AB20" s="61">
        <f>IF($A20="","",IFERROR($T20*'Settings'!$B$4,0))</f>
        <v/>
      </c>
      <c r="AC20" s="61" t="n"/>
      <c r="AD20" s="61">
        <f>IF($A20="","",IFERROR(SUM($AA20,$AB20,$AC20),0))</f>
        <v/>
      </c>
      <c r="AE20" s="61">
        <f>IF($A20="","",IFERROR($Z20-$AD20,0))</f>
        <v/>
      </c>
      <c r="AF20" s="39">
        <f>IF($A20="","",IFERROR($AE20/$Z20,0))</f>
        <v/>
      </c>
      <c r="AG20" s="32" t="n"/>
      <c r="AH20" s="33" t="n"/>
      <c r="AI20" s="40">
        <f>IF($A20="","",IF($C20="Delivered",IFERROR(MAX(0,$AH20-$B20),0),IF($C20="Canceled",0,IFERROR(MAX(0,TODAY()-$B20),0))))</f>
        <v/>
      </c>
      <c r="AJ20" s="34" t="n"/>
    </row>
    <row r="21">
      <c r="A21" s="32" t="n"/>
      <c r="B21" s="33" t="n"/>
      <c r="C21" s="32" t="n"/>
      <c r="D21" s="32" t="n"/>
      <c r="E21" s="34" t="n"/>
      <c r="F21" s="32" t="n"/>
      <c r="G21" s="32" t="n"/>
      <c r="H21" s="32" t="n"/>
      <c r="I21" s="34" t="n"/>
      <c r="J21" s="60" t="n"/>
      <c r="K21" s="60" t="n"/>
      <c r="L21" s="32" t="n"/>
      <c r="M21" s="32" t="n"/>
      <c r="N21" s="32" t="n"/>
      <c r="O21" s="34" t="n"/>
      <c r="P21" s="34" t="n"/>
      <c r="Q21" s="36" t="n"/>
      <c r="R21" s="36" t="n"/>
      <c r="S21" s="36">
        <f>IF($A21="","",IFERROR(SUM($Q21:$R21),0))</f>
        <v/>
      </c>
      <c r="T21" s="36" t="n"/>
      <c r="U21" s="61" t="n"/>
      <c r="V21" s="61">
        <f>IF($A21="","",IFERROR($S21*'Settings'!$B$5,0))</f>
        <v/>
      </c>
      <c r="W21" s="32" t="n"/>
      <c r="X21" s="38" t="n"/>
      <c r="Y21" s="61">
        <f>IF($A21="","",IF(OR($W21="",$W21="None"),0,IFERROR($X21*VLOOKUP($W21,'Settings'!$A$15:$B$114,2,FALSE),0)))</f>
        <v/>
      </c>
      <c r="Z21" s="61">
        <f>IF($A21="","",IFERROR(SUM($U21,$V21,$Y21),0))</f>
        <v/>
      </c>
      <c r="AA21" s="61" t="n"/>
      <c r="AB21" s="61">
        <f>IF($A21="","",IFERROR($T21*'Settings'!$B$4,0))</f>
        <v/>
      </c>
      <c r="AC21" s="61" t="n"/>
      <c r="AD21" s="61">
        <f>IF($A21="","",IFERROR(SUM($AA21,$AB21,$AC21),0))</f>
        <v/>
      </c>
      <c r="AE21" s="61">
        <f>IF($A21="","",IFERROR($Z21-$AD21,0))</f>
        <v/>
      </c>
      <c r="AF21" s="39">
        <f>IF($A21="","",IFERROR($AE21/$Z21,0))</f>
        <v/>
      </c>
      <c r="AG21" s="32" t="n"/>
      <c r="AH21" s="33" t="n"/>
      <c r="AI21" s="40">
        <f>IF($A21="","",IF($C21="Delivered",IFERROR(MAX(0,$AH21-$B21),0),IF($C21="Canceled",0,IFERROR(MAX(0,TODAY()-$B21),0))))</f>
        <v/>
      </c>
      <c r="AJ21" s="34" t="n"/>
    </row>
    <row r="22">
      <c r="A22" s="32" t="n"/>
      <c r="B22" s="33" t="n"/>
      <c r="C22" s="32" t="n"/>
      <c r="D22" s="32" t="n"/>
      <c r="E22" s="34" t="n"/>
      <c r="F22" s="32" t="n"/>
      <c r="G22" s="32" t="n"/>
      <c r="H22" s="32" t="n"/>
      <c r="I22" s="34" t="n"/>
      <c r="J22" s="60" t="n"/>
      <c r="K22" s="60" t="n"/>
      <c r="L22" s="32" t="n"/>
      <c r="M22" s="32" t="n"/>
      <c r="N22" s="32" t="n"/>
      <c r="O22" s="34" t="n"/>
      <c r="P22" s="34" t="n"/>
      <c r="Q22" s="36" t="n"/>
      <c r="R22" s="36" t="n"/>
      <c r="S22" s="36">
        <f>IF($A22="","",IFERROR(SUM($Q22:$R22),0))</f>
        <v/>
      </c>
      <c r="T22" s="36" t="n"/>
      <c r="U22" s="61" t="n"/>
      <c r="V22" s="61">
        <f>IF($A22="","",IFERROR($S22*'Settings'!$B$5,0))</f>
        <v/>
      </c>
      <c r="W22" s="32" t="n"/>
      <c r="X22" s="38" t="n"/>
      <c r="Y22" s="61">
        <f>IF($A22="","",IF(OR($W22="",$W22="None"),0,IFERROR($X22*VLOOKUP($W22,'Settings'!$A$15:$B$114,2,FALSE),0)))</f>
        <v/>
      </c>
      <c r="Z22" s="61">
        <f>IF($A22="","",IFERROR(SUM($U22,$V22,$Y22),0))</f>
        <v/>
      </c>
      <c r="AA22" s="61" t="n"/>
      <c r="AB22" s="61">
        <f>IF($A22="","",IFERROR($T22*'Settings'!$B$4,0))</f>
        <v/>
      </c>
      <c r="AC22" s="61" t="n"/>
      <c r="AD22" s="61">
        <f>IF($A22="","",IFERROR(SUM($AA22,$AB22,$AC22),0))</f>
        <v/>
      </c>
      <c r="AE22" s="61">
        <f>IF($A22="","",IFERROR($Z22-$AD22,0))</f>
        <v/>
      </c>
      <c r="AF22" s="39">
        <f>IF($A22="","",IFERROR($AE22/$Z22,0))</f>
        <v/>
      </c>
      <c r="AG22" s="32" t="n"/>
      <c r="AH22" s="33" t="n"/>
      <c r="AI22" s="40">
        <f>IF($A22="","",IF($C22="Delivered",IFERROR(MAX(0,$AH22-$B22),0),IF($C22="Canceled",0,IFERROR(MAX(0,TODAY()-$B22),0))))</f>
        <v/>
      </c>
      <c r="AJ22" s="34" t="n"/>
    </row>
    <row r="23">
      <c r="A23" s="32" t="n"/>
      <c r="B23" s="33" t="n"/>
      <c r="C23" s="32" t="n"/>
      <c r="D23" s="32" t="n"/>
      <c r="E23" s="34" t="n"/>
      <c r="F23" s="32" t="n"/>
      <c r="G23" s="32" t="n"/>
      <c r="H23" s="32" t="n"/>
      <c r="I23" s="34" t="n"/>
      <c r="J23" s="60" t="n"/>
      <c r="K23" s="60" t="n"/>
      <c r="L23" s="32" t="n"/>
      <c r="M23" s="32" t="n"/>
      <c r="N23" s="32" t="n"/>
      <c r="O23" s="34" t="n"/>
      <c r="P23" s="34" t="n"/>
      <c r="Q23" s="36" t="n"/>
      <c r="R23" s="36" t="n"/>
      <c r="S23" s="36">
        <f>IF($A23="","",IFERROR(SUM($Q23:$R23),0))</f>
        <v/>
      </c>
      <c r="T23" s="36" t="n"/>
      <c r="U23" s="61" t="n"/>
      <c r="V23" s="61">
        <f>IF($A23="","",IFERROR($S23*'Settings'!$B$5,0))</f>
        <v/>
      </c>
      <c r="W23" s="32" t="n"/>
      <c r="X23" s="38" t="n"/>
      <c r="Y23" s="61">
        <f>IF($A23="","",IF(OR($W23="",$W23="None"),0,IFERROR($X23*VLOOKUP($W23,'Settings'!$A$15:$B$114,2,FALSE),0)))</f>
        <v/>
      </c>
      <c r="Z23" s="61">
        <f>IF($A23="","",IFERROR(SUM($U23,$V23,$Y23),0))</f>
        <v/>
      </c>
      <c r="AA23" s="61" t="n"/>
      <c r="AB23" s="61">
        <f>IF($A23="","",IFERROR($T23*'Settings'!$B$4,0))</f>
        <v/>
      </c>
      <c r="AC23" s="61" t="n"/>
      <c r="AD23" s="61">
        <f>IF($A23="","",IFERROR(SUM($AA23,$AB23,$AC23),0))</f>
        <v/>
      </c>
      <c r="AE23" s="61">
        <f>IF($A23="","",IFERROR($Z23-$AD23,0))</f>
        <v/>
      </c>
      <c r="AF23" s="39">
        <f>IF($A23="","",IFERROR($AE23/$Z23,0))</f>
        <v/>
      </c>
      <c r="AG23" s="32" t="n"/>
      <c r="AH23" s="33" t="n"/>
      <c r="AI23" s="40">
        <f>IF($A23="","",IF($C23="Delivered",IFERROR(MAX(0,$AH23-$B23),0),IF($C23="Canceled",0,IFERROR(MAX(0,TODAY()-$B23),0))))</f>
        <v/>
      </c>
      <c r="AJ23" s="34" t="n"/>
    </row>
    <row r="24">
      <c r="A24" s="32" t="n"/>
      <c r="B24" s="33" t="n"/>
      <c r="C24" s="32" t="n"/>
      <c r="D24" s="32" t="n"/>
      <c r="E24" s="34" t="n"/>
      <c r="F24" s="32" t="n"/>
      <c r="G24" s="32" t="n"/>
      <c r="H24" s="32" t="n"/>
      <c r="I24" s="34" t="n"/>
      <c r="J24" s="60" t="n"/>
      <c r="K24" s="60" t="n"/>
      <c r="L24" s="32" t="n"/>
      <c r="M24" s="32" t="n"/>
      <c r="N24" s="32" t="n"/>
      <c r="O24" s="34" t="n"/>
      <c r="P24" s="34" t="n"/>
      <c r="Q24" s="36" t="n"/>
      <c r="R24" s="36" t="n"/>
      <c r="S24" s="36">
        <f>IF($A24="","",IFERROR(SUM($Q24:$R24),0))</f>
        <v/>
      </c>
      <c r="T24" s="36" t="n"/>
      <c r="U24" s="61" t="n"/>
      <c r="V24" s="61">
        <f>IF($A24="","",IFERROR($S24*'Settings'!$B$5,0))</f>
        <v/>
      </c>
      <c r="W24" s="32" t="n"/>
      <c r="X24" s="38" t="n"/>
      <c r="Y24" s="61">
        <f>IF($A24="","",IF(OR($W24="",$W24="None"),0,IFERROR($X24*VLOOKUP($W24,'Settings'!$A$15:$B$114,2,FALSE),0)))</f>
        <v/>
      </c>
      <c r="Z24" s="61">
        <f>IF($A24="","",IFERROR(SUM($U24,$V24,$Y24),0))</f>
        <v/>
      </c>
      <c r="AA24" s="61" t="n"/>
      <c r="AB24" s="61">
        <f>IF($A24="","",IFERROR($T24*'Settings'!$B$4,0))</f>
        <v/>
      </c>
      <c r="AC24" s="61" t="n"/>
      <c r="AD24" s="61">
        <f>IF($A24="","",IFERROR(SUM($AA24,$AB24,$AC24),0))</f>
        <v/>
      </c>
      <c r="AE24" s="61">
        <f>IF($A24="","",IFERROR($Z24-$AD24,0))</f>
        <v/>
      </c>
      <c r="AF24" s="39">
        <f>IF($A24="","",IFERROR($AE24/$Z24,0))</f>
        <v/>
      </c>
      <c r="AG24" s="32" t="n"/>
      <c r="AH24" s="33" t="n"/>
      <c r="AI24" s="40">
        <f>IF($A24="","",IF($C24="Delivered",IFERROR(MAX(0,$AH24-$B24),0),IF($C24="Canceled",0,IFERROR(MAX(0,TODAY()-$B24),0))))</f>
        <v/>
      </c>
      <c r="AJ24" s="34" t="n"/>
    </row>
    <row r="25">
      <c r="A25" s="32" t="n"/>
      <c r="B25" s="33" t="n"/>
      <c r="C25" s="32" t="n"/>
      <c r="D25" s="32" t="n"/>
      <c r="E25" s="34" t="n"/>
      <c r="F25" s="32" t="n"/>
      <c r="G25" s="32" t="n"/>
      <c r="H25" s="32" t="n"/>
      <c r="I25" s="34" t="n"/>
      <c r="J25" s="60" t="n"/>
      <c r="K25" s="60" t="n"/>
      <c r="L25" s="32" t="n"/>
      <c r="M25" s="32" t="n"/>
      <c r="N25" s="32" t="n"/>
      <c r="O25" s="34" t="n"/>
      <c r="P25" s="34" t="n"/>
      <c r="Q25" s="36" t="n"/>
      <c r="R25" s="36" t="n"/>
      <c r="S25" s="36">
        <f>IF($A25="","",IFERROR(SUM($Q25:$R25),0))</f>
        <v/>
      </c>
      <c r="T25" s="36" t="n"/>
      <c r="U25" s="61" t="n"/>
      <c r="V25" s="61">
        <f>IF($A25="","",IFERROR($S25*'Settings'!$B$5,0))</f>
        <v/>
      </c>
      <c r="W25" s="32" t="n"/>
      <c r="X25" s="38" t="n"/>
      <c r="Y25" s="61">
        <f>IF($A25="","",IF(OR($W25="",$W25="None"),0,IFERROR($X25*VLOOKUP($W25,'Settings'!$A$15:$B$114,2,FALSE),0)))</f>
        <v/>
      </c>
      <c r="Z25" s="61">
        <f>IF($A25="","",IFERROR(SUM($U25,$V25,$Y25),0))</f>
        <v/>
      </c>
      <c r="AA25" s="61" t="n"/>
      <c r="AB25" s="61">
        <f>IF($A25="","",IFERROR($T25*'Settings'!$B$4,0))</f>
        <v/>
      </c>
      <c r="AC25" s="61" t="n"/>
      <c r="AD25" s="61">
        <f>IF($A25="","",IFERROR(SUM($AA25,$AB25,$AC25),0))</f>
        <v/>
      </c>
      <c r="AE25" s="61">
        <f>IF($A25="","",IFERROR($Z25-$AD25,0))</f>
        <v/>
      </c>
      <c r="AF25" s="39">
        <f>IF($A25="","",IFERROR($AE25/$Z25,0))</f>
        <v/>
      </c>
      <c r="AG25" s="32" t="n"/>
      <c r="AH25" s="33" t="n"/>
      <c r="AI25" s="40">
        <f>IF($A25="","",IF($C25="Delivered",IFERROR(MAX(0,$AH25-$B25),0),IF($C25="Canceled",0,IFERROR(MAX(0,TODAY()-$B25),0))))</f>
        <v/>
      </c>
      <c r="AJ25" s="34" t="n"/>
    </row>
    <row r="26">
      <c r="A26" s="32" t="n"/>
      <c r="B26" s="33" t="n"/>
      <c r="C26" s="32" t="n"/>
      <c r="D26" s="32" t="n"/>
      <c r="E26" s="34" t="n"/>
      <c r="F26" s="32" t="n"/>
      <c r="G26" s="32" t="n"/>
      <c r="H26" s="32" t="n"/>
      <c r="I26" s="34" t="n"/>
      <c r="J26" s="60" t="n"/>
      <c r="K26" s="60" t="n"/>
      <c r="L26" s="32" t="n"/>
      <c r="M26" s="32" t="n"/>
      <c r="N26" s="32" t="n"/>
      <c r="O26" s="34" t="n"/>
      <c r="P26" s="34" t="n"/>
      <c r="Q26" s="36" t="n"/>
      <c r="R26" s="36" t="n"/>
      <c r="S26" s="36">
        <f>IF($A26="","",IFERROR(SUM($Q26:$R26),0))</f>
        <v/>
      </c>
      <c r="T26" s="36" t="n"/>
      <c r="U26" s="61" t="n"/>
      <c r="V26" s="61">
        <f>IF($A26="","",IFERROR($S26*'Settings'!$B$5,0))</f>
        <v/>
      </c>
      <c r="W26" s="32" t="n"/>
      <c r="X26" s="38" t="n"/>
      <c r="Y26" s="61">
        <f>IF($A26="","",IF(OR($W26="",$W26="None"),0,IFERROR($X26*VLOOKUP($W26,'Settings'!$A$15:$B$114,2,FALSE),0)))</f>
        <v/>
      </c>
      <c r="Z26" s="61">
        <f>IF($A26="","",IFERROR(SUM($U26,$V26,$Y26),0))</f>
        <v/>
      </c>
      <c r="AA26" s="61" t="n"/>
      <c r="AB26" s="61">
        <f>IF($A26="","",IFERROR($T26*'Settings'!$B$4,0))</f>
        <v/>
      </c>
      <c r="AC26" s="61" t="n"/>
      <c r="AD26" s="61">
        <f>IF($A26="","",IFERROR(SUM($AA26,$AB26,$AC26),0))</f>
        <v/>
      </c>
      <c r="AE26" s="61">
        <f>IF($A26="","",IFERROR($Z26-$AD26,0))</f>
        <v/>
      </c>
      <c r="AF26" s="39">
        <f>IF($A26="","",IFERROR($AE26/$Z26,0))</f>
        <v/>
      </c>
      <c r="AG26" s="32" t="n"/>
      <c r="AH26" s="33" t="n"/>
      <c r="AI26" s="40">
        <f>IF($A26="","",IF($C26="Delivered",IFERROR(MAX(0,$AH26-$B26),0),IF($C26="Canceled",0,IFERROR(MAX(0,TODAY()-$B26),0))))</f>
        <v/>
      </c>
      <c r="AJ26" s="34" t="n"/>
    </row>
    <row r="27">
      <c r="A27" s="32" t="n"/>
      <c r="B27" s="33" t="n"/>
      <c r="C27" s="32" t="n"/>
      <c r="D27" s="32" t="n"/>
      <c r="E27" s="34" t="n"/>
      <c r="F27" s="32" t="n"/>
      <c r="G27" s="32" t="n"/>
      <c r="H27" s="32" t="n"/>
      <c r="I27" s="34" t="n"/>
      <c r="J27" s="60" t="n"/>
      <c r="K27" s="60" t="n"/>
      <c r="L27" s="32" t="n"/>
      <c r="M27" s="32" t="n"/>
      <c r="N27" s="32" t="n"/>
      <c r="O27" s="34" t="n"/>
      <c r="P27" s="34" t="n"/>
      <c r="Q27" s="36" t="n"/>
      <c r="R27" s="36" t="n"/>
      <c r="S27" s="36">
        <f>IF($A27="","",IFERROR(SUM($Q27:$R27),0))</f>
        <v/>
      </c>
      <c r="T27" s="36" t="n"/>
      <c r="U27" s="61" t="n"/>
      <c r="V27" s="61">
        <f>IF($A27="","",IFERROR($S27*'Settings'!$B$5,0))</f>
        <v/>
      </c>
      <c r="W27" s="32" t="n"/>
      <c r="X27" s="38" t="n"/>
      <c r="Y27" s="61">
        <f>IF($A27="","",IF(OR($W27="",$W27="None"),0,IFERROR($X27*VLOOKUP($W27,'Settings'!$A$15:$B$114,2,FALSE),0)))</f>
        <v/>
      </c>
      <c r="Z27" s="61">
        <f>IF($A27="","",IFERROR(SUM($U27,$V27,$Y27),0))</f>
        <v/>
      </c>
      <c r="AA27" s="61" t="n"/>
      <c r="AB27" s="61">
        <f>IF($A27="","",IFERROR($T27*'Settings'!$B$4,0))</f>
        <v/>
      </c>
      <c r="AC27" s="61" t="n"/>
      <c r="AD27" s="61">
        <f>IF($A27="","",IFERROR(SUM($AA27,$AB27,$AC27),0))</f>
        <v/>
      </c>
      <c r="AE27" s="61">
        <f>IF($A27="","",IFERROR($Z27-$AD27,0))</f>
        <v/>
      </c>
      <c r="AF27" s="39">
        <f>IF($A27="","",IFERROR($AE27/$Z27,0))</f>
        <v/>
      </c>
      <c r="AG27" s="32" t="n"/>
      <c r="AH27" s="33" t="n"/>
      <c r="AI27" s="40">
        <f>IF($A27="","",IF($C27="Delivered",IFERROR(MAX(0,$AH27-$B27),0),IF($C27="Canceled",0,IFERROR(MAX(0,TODAY()-$B27),0))))</f>
        <v/>
      </c>
      <c r="AJ27" s="34" t="n"/>
    </row>
    <row r="28">
      <c r="A28" s="32" t="n"/>
      <c r="B28" s="33" t="n"/>
      <c r="C28" s="32" t="n"/>
      <c r="D28" s="32" t="n"/>
      <c r="E28" s="34" t="n"/>
      <c r="F28" s="32" t="n"/>
      <c r="G28" s="32" t="n"/>
      <c r="H28" s="32" t="n"/>
      <c r="I28" s="34" t="n"/>
      <c r="J28" s="60" t="n"/>
      <c r="K28" s="60" t="n"/>
      <c r="L28" s="32" t="n"/>
      <c r="M28" s="32" t="n"/>
      <c r="N28" s="32" t="n"/>
      <c r="O28" s="34" t="n"/>
      <c r="P28" s="34" t="n"/>
      <c r="Q28" s="36" t="n"/>
      <c r="R28" s="36" t="n"/>
      <c r="S28" s="36">
        <f>IF($A28="","",IFERROR(SUM($Q28:$R28),0))</f>
        <v/>
      </c>
      <c r="T28" s="36" t="n"/>
      <c r="U28" s="61" t="n"/>
      <c r="V28" s="61">
        <f>IF($A28="","",IFERROR($S28*'Settings'!$B$5,0))</f>
        <v/>
      </c>
      <c r="W28" s="32" t="n"/>
      <c r="X28" s="38" t="n"/>
      <c r="Y28" s="61">
        <f>IF($A28="","",IF(OR($W28="",$W28="None"),0,IFERROR($X28*VLOOKUP($W28,'Settings'!$A$15:$B$114,2,FALSE),0)))</f>
        <v/>
      </c>
      <c r="Z28" s="61">
        <f>IF($A28="","",IFERROR(SUM($U28,$V28,$Y28),0))</f>
        <v/>
      </c>
      <c r="AA28" s="61" t="n"/>
      <c r="AB28" s="61">
        <f>IF($A28="","",IFERROR($T28*'Settings'!$B$4,0))</f>
        <v/>
      </c>
      <c r="AC28" s="61" t="n"/>
      <c r="AD28" s="61">
        <f>IF($A28="","",IFERROR(SUM($AA28,$AB28,$AC28),0))</f>
        <v/>
      </c>
      <c r="AE28" s="61">
        <f>IF($A28="","",IFERROR($Z28-$AD28,0))</f>
        <v/>
      </c>
      <c r="AF28" s="39">
        <f>IF($A28="","",IFERROR($AE28/$Z28,0))</f>
        <v/>
      </c>
      <c r="AG28" s="32" t="n"/>
      <c r="AH28" s="33" t="n"/>
      <c r="AI28" s="40">
        <f>IF($A28="","",IF($C28="Delivered",IFERROR(MAX(0,$AH28-$B28),0),IF($C28="Canceled",0,IFERROR(MAX(0,TODAY()-$B28),0))))</f>
        <v/>
      </c>
      <c r="AJ28" s="34" t="n"/>
    </row>
    <row r="29">
      <c r="A29" s="32" t="n"/>
      <c r="B29" s="33" t="n"/>
      <c r="C29" s="32" t="n"/>
      <c r="D29" s="32" t="n"/>
      <c r="E29" s="34" t="n"/>
      <c r="F29" s="32" t="n"/>
      <c r="G29" s="32" t="n"/>
      <c r="H29" s="32" t="n"/>
      <c r="I29" s="34" t="n"/>
      <c r="J29" s="60" t="n"/>
      <c r="K29" s="60" t="n"/>
      <c r="L29" s="32" t="n"/>
      <c r="M29" s="32" t="n"/>
      <c r="N29" s="32" t="n"/>
      <c r="O29" s="34" t="n"/>
      <c r="P29" s="34" t="n"/>
      <c r="Q29" s="36" t="n"/>
      <c r="R29" s="36" t="n"/>
      <c r="S29" s="36">
        <f>IF($A29="","",IFERROR(SUM($Q29:$R29),0))</f>
        <v/>
      </c>
      <c r="T29" s="36" t="n"/>
      <c r="U29" s="61" t="n"/>
      <c r="V29" s="61">
        <f>IF($A29="","",IFERROR($S29*'Settings'!$B$5,0))</f>
        <v/>
      </c>
      <c r="W29" s="32" t="n"/>
      <c r="X29" s="38" t="n"/>
      <c r="Y29" s="61">
        <f>IF($A29="","",IF(OR($W29="",$W29="None"),0,IFERROR($X29*VLOOKUP($W29,'Settings'!$A$15:$B$114,2,FALSE),0)))</f>
        <v/>
      </c>
      <c r="Z29" s="61">
        <f>IF($A29="","",IFERROR(SUM($U29,$V29,$Y29),0))</f>
        <v/>
      </c>
      <c r="AA29" s="61" t="n"/>
      <c r="AB29" s="61">
        <f>IF($A29="","",IFERROR($T29*'Settings'!$B$4,0))</f>
        <v/>
      </c>
      <c r="AC29" s="61" t="n"/>
      <c r="AD29" s="61">
        <f>IF($A29="","",IFERROR(SUM($AA29,$AB29,$AC29),0))</f>
        <v/>
      </c>
      <c r="AE29" s="61">
        <f>IF($A29="","",IFERROR($Z29-$AD29,0))</f>
        <v/>
      </c>
      <c r="AF29" s="39">
        <f>IF($A29="","",IFERROR($AE29/$Z29,0))</f>
        <v/>
      </c>
      <c r="AG29" s="32" t="n"/>
      <c r="AH29" s="33" t="n"/>
      <c r="AI29" s="40">
        <f>IF($A29="","",IF($C29="Delivered",IFERROR(MAX(0,$AH29-$B29),0),IF($C29="Canceled",0,IFERROR(MAX(0,TODAY()-$B29),0))))</f>
        <v/>
      </c>
      <c r="AJ29" s="34" t="n"/>
    </row>
    <row r="30">
      <c r="A30" s="32" t="n"/>
      <c r="B30" s="33" t="n"/>
      <c r="C30" s="32" t="n"/>
      <c r="D30" s="32" t="n"/>
      <c r="E30" s="34" t="n"/>
      <c r="F30" s="32" t="n"/>
      <c r="G30" s="32" t="n"/>
      <c r="H30" s="32" t="n"/>
      <c r="I30" s="34" t="n"/>
      <c r="J30" s="60" t="n"/>
      <c r="K30" s="60" t="n"/>
      <c r="L30" s="32" t="n"/>
      <c r="M30" s="32" t="n"/>
      <c r="N30" s="32" t="n"/>
      <c r="O30" s="34" t="n"/>
      <c r="P30" s="34" t="n"/>
      <c r="Q30" s="36" t="n"/>
      <c r="R30" s="36" t="n"/>
      <c r="S30" s="36">
        <f>IF($A30="","",IFERROR(SUM($Q30:$R30),0))</f>
        <v/>
      </c>
      <c r="T30" s="36" t="n"/>
      <c r="U30" s="61" t="n"/>
      <c r="V30" s="61">
        <f>IF($A30="","",IFERROR($S30*'Settings'!$B$5,0))</f>
        <v/>
      </c>
      <c r="W30" s="32" t="n"/>
      <c r="X30" s="38" t="n"/>
      <c r="Y30" s="61">
        <f>IF($A30="","",IF(OR($W30="",$W30="None"),0,IFERROR($X30*VLOOKUP($W30,'Settings'!$A$15:$B$114,2,FALSE),0)))</f>
        <v/>
      </c>
      <c r="Z30" s="61">
        <f>IF($A30="","",IFERROR(SUM($U30,$V30,$Y30),0))</f>
        <v/>
      </c>
      <c r="AA30" s="61" t="n"/>
      <c r="AB30" s="61">
        <f>IF($A30="","",IFERROR($T30*'Settings'!$B$4,0))</f>
        <v/>
      </c>
      <c r="AC30" s="61" t="n"/>
      <c r="AD30" s="61">
        <f>IF($A30="","",IFERROR(SUM($AA30,$AB30,$AC30),0))</f>
        <v/>
      </c>
      <c r="AE30" s="61">
        <f>IF($A30="","",IFERROR($Z30-$AD30,0))</f>
        <v/>
      </c>
      <c r="AF30" s="39">
        <f>IF($A30="","",IFERROR($AE30/$Z30,0))</f>
        <v/>
      </c>
      <c r="AG30" s="32" t="n"/>
      <c r="AH30" s="33" t="n"/>
      <c r="AI30" s="40">
        <f>IF($A30="","",IF($C30="Delivered",IFERROR(MAX(0,$AH30-$B30),0),IF($C30="Canceled",0,IFERROR(MAX(0,TODAY()-$B30),0))))</f>
        <v/>
      </c>
      <c r="AJ30" s="34" t="n"/>
    </row>
    <row r="31">
      <c r="A31" s="32" t="n"/>
      <c r="B31" s="33" t="n"/>
      <c r="C31" s="32" t="n"/>
      <c r="D31" s="32" t="n"/>
      <c r="E31" s="34" t="n"/>
      <c r="F31" s="32" t="n"/>
      <c r="G31" s="32" t="n"/>
      <c r="H31" s="32" t="n"/>
      <c r="I31" s="34" t="n"/>
      <c r="J31" s="60" t="n"/>
      <c r="K31" s="60" t="n"/>
      <c r="L31" s="32" t="n"/>
      <c r="M31" s="32" t="n"/>
      <c r="N31" s="32" t="n"/>
      <c r="O31" s="34" t="n"/>
      <c r="P31" s="34" t="n"/>
      <c r="Q31" s="36" t="n"/>
      <c r="R31" s="36" t="n"/>
      <c r="S31" s="36">
        <f>IF($A31="","",IFERROR(SUM($Q31:$R31),0))</f>
        <v/>
      </c>
      <c r="T31" s="36" t="n"/>
      <c r="U31" s="61" t="n"/>
      <c r="V31" s="61">
        <f>IF($A31="","",IFERROR($S31*'Settings'!$B$5,0))</f>
        <v/>
      </c>
      <c r="W31" s="32" t="n"/>
      <c r="X31" s="38" t="n"/>
      <c r="Y31" s="61">
        <f>IF($A31="","",IF(OR($W31="",$W31="None"),0,IFERROR($X31*VLOOKUP($W31,'Settings'!$A$15:$B$114,2,FALSE),0)))</f>
        <v/>
      </c>
      <c r="Z31" s="61">
        <f>IF($A31="","",IFERROR(SUM($U31,$V31,$Y31),0))</f>
        <v/>
      </c>
      <c r="AA31" s="61" t="n"/>
      <c r="AB31" s="61">
        <f>IF($A31="","",IFERROR($T31*'Settings'!$B$4,0))</f>
        <v/>
      </c>
      <c r="AC31" s="61" t="n"/>
      <c r="AD31" s="61">
        <f>IF($A31="","",IFERROR(SUM($AA31,$AB31,$AC31),0))</f>
        <v/>
      </c>
      <c r="AE31" s="61">
        <f>IF($A31="","",IFERROR($Z31-$AD31,0))</f>
        <v/>
      </c>
      <c r="AF31" s="39">
        <f>IF($A31="","",IFERROR($AE31/$Z31,0))</f>
        <v/>
      </c>
      <c r="AG31" s="32" t="n"/>
      <c r="AH31" s="33" t="n"/>
      <c r="AI31" s="40">
        <f>IF($A31="","",IF($C31="Delivered",IFERROR(MAX(0,$AH31-$B31),0),IF($C31="Canceled",0,IFERROR(MAX(0,TODAY()-$B31),0))))</f>
        <v/>
      </c>
      <c r="AJ31" s="34" t="n"/>
    </row>
    <row r="32">
      <c r="A32" s="32" t="n"/>
      <c r="B32" s="33" t="n"/>
      <c r="C32" s="32" t="n"/>
      <c r="D32" s="32" t="n"/>
      <c r="E32" s="34" t="n"/>
      <c r="F32" s="32" t="n"/>
      <c r="G32" s="32" t="n"/>
      <c r="H32" s="32" t="n"/>
      <c r="I32" s="34" t="n"/>
      <c r="J32" s="60" t="n"/>
      <c r="K32" s="60" t="n"/>
      <c r="L32" s="32" t="n"/>
      <c r="M32" s="32" t="n"/>
      <c r="N32" s="32" t="n"/>
      <c r="O32" s="34" t="n"/>
      <c r="P32" s="34" t="n"/>
      <c r="Q32" s="36" t="n"/>
      <c r="R32" s="36" t="n"/>
      <c r="S32" s="36">
        <f>IF($A32="","",IFERROR(SUM($Q32:$R32),0))</f>
        <v/>
      </c>
      <c r="T32" s="36" t="n"/>
      <c r="U32" s="61" t="n"/>
      <c r="V32" s="61">
        <f>IF($A32="","",IFERROR($S32*'Settings'!$B$5,0))</f>
        <v/>
      </c>
      <c r="W32" s="32" t="n"/>
      <c r="X32" s="38" t="n"/>
      <c r="Y32" s="61">
        <f>IF($A32="","",IF(OR($W32="",$W32="None"),0,IFERROR($X32*VLOOKUP($W32,'Settings'!$A$15:$B$114,2,FALSE),0)))</f>
        <v/>
      </c>
      <c r="Z32" s="61">
        <f>IF($A32="","",IFERROR(SUM($U32,$V32,$Y32),0))</f>
        <v/>
      </c>
      <c r="AA32" s="61" t="n"/>
      <c r="AB32" s="61">
        <f>IF($A32="","",IFERROR($T32*'Settings'!$B$4,0))</f>
        <v/>
      </c>
      <c r="AC32" s="61" t="n"/>
      <c r="AD32" s="61">
        <f>IF($A32="","",IFERROR(SUM($AA32,$AB32,$AC32),0))</f>
        <v/>
      </c>
      <c r="AE32" s="61">
        <f>IF($A32="","",IFERROR($Z32-$AD32,0))</f>
        <v/>
      </c>
      <c r="AF32" s="39">
        <f>IF($A32="","",IFERROR($AE32/$Z32,0))</f>
        <v/>
      </c>
      <c r="AG32" s="32" t="n"/>
      <c r="AH32" s="33" t="n"/>
      <c r="AI32" s="40">
        <f>IF($A32="","",IF($C32="Delivered",IFERROR(MAX(0,$AH32-$B32),0),IF($C32="Canceled",0,IFERROR(MAX(0,TODAY()-$B32),0))))</f>
        <v/>
      </c>
      <c r="AJ32" s="34" t="n"/>
    </row>
    <row r="33">
      <c r="A33" s="32" t="n"/>
      <c r="B33" s="33" t="n"/>
      <c r="C33" s="32" t="n"/>
      <c r="D33" s="32" t="n"/>
      <c r="E33" s="34" t="n"/>
      <c r="F33" s="32" t="n"/>
      <c r="G33" s="32" t="n"/>
      <c r="H33" s="32" t="n"/>
      <c r="I33" s="34" t="n"/>
      <c r="J33" s="60" t="n"/>
      <c r="K33" s="60" t="n"/>
      <c r="L33" s="32" t="n"/>
      <c r="M33" s="32" t="n"/>
      <c r="N33" s="32" t="n"/>
      <c r="O33" s="34" t="n"/>
      <c r="P33" s="34" t="n"/>
      <c r="Q33" s="36" t="n"/>
      <c r="R33" s="36" t="n"/>
      <c r="S33" s="36">
        <f>IF($A33="","",IFERROR(SUM($Q33:$R33),0))</f>
        <v/>
      </c>
      <c r="T33" s="36" t="n"/>
      <c r="U33" s="61" t="n"/>
      <c r="V33" s="61">
        <f>IF($A33="","",IFERROR($S33*'Settings'!$B$5,0))</f>
        <v/>
      </c>
      <c r="W33" s="32" t="n"/>
      <c r="X33" s="38" t="n"/>
      <c r="Y33" s="61">
        <f>IF($A33="","",IF(OR($W33="",$W33="None"),0,IFERROR($X33*VLOOKUP($W33,'Settings'!$A$15:$B$114,2,FALSE),0)))</f>
        <v/>
      </c>
      <c r="Z33" s="61">
        <f>IF($A33="","",IFERROR(SUM($U33,$V33,$Y33),0))</f>
        <v/>
      </c>
      <c r="AA33" s="61" t="n"/>
      <c r="AB33" s="61">
        <f>IF($A33="","",IFERROR($T33*'Settings'!$B$4,0))</f>
        <v/>
      </c>
      <c r="AC33" s="61" t="n"/>
      <c r="AD33" s="61">
        <f>IF($A33="","",IFERROR(SUM($AA33,$AB33,$AC33),0))</f>
        <v/>
      </c>
      <c r="AE33" s="61">
        <f>IF($A33="","",IFERROR($Z33-$AD33,0))</f>
        <v/>
      </c>
      <c r="AF33" s="39">
        <f>IF($A33="","",IFERROR($AE33/$Z33,0))</f>
        <v/>
      </c>
      <c r="AG33" s="32" t="n"/>
      <c r="AH33" s="33" t="n"/>
      <c r="AI33" s="40">
        <f>IF($A33="","",IF($C33="Delivered",IFERROR(MAX(0,$AH33-$B33),0),IF($C33="Canceled",0,IFERROR(MAX(0,TODAY()-$B33),0))))</f>
        <v/>
      </c>
      <c r="AJ33" s="34" t="n"/>
    </row>
    <row r="34">
      <c r="A34" s="32" t="n"/>
      <c r="B34" s="33" t="n"/>
      <c r="C34" s="32" t="n"/>
      <c r="D34" s="32" t="n"/>
      <c r="E34" s="34" t="n"/>
      <c r="F34" s="32" t="n"/>
      <c r="G34" s="32" t="n"/>
      <c r="H34" s="32" t="n"/>
      <c r="I34" s="34" t="n"/>
      <c r="J34" s="60" t="n"/>
      <c r="K34" s="60" t="n"/>
      <c r="L34" s="32" t="n"/>
      <c r="M34" s="32" t="n"/>
      <c r="N34" s="32" t="n"/>
      <c r="O34" s="34" t="n"/>
      <c r="P34" s="34" t="n"/>
      <c r="Q34" s="36" t="n"/>
      <c r="R34" s="36" t="n"/>
      <c r="S34" s="36">
        <f>IF($A34="","",IFERROR(SUM($Q34:$R34),0))</f>
        <v/>
      </c>
      <c r="T34" s="36" t="n"/>
      <c r="U34" s="61" t="n"/>
      <c r="V34" s="61">
        <f>IF($A34="","",IFERROR($S34*'Settings'!$B$5,0))</f>
        <v/>
      </c>
      <c r="W34" s="32" t="n"/>
      <c r="X34" s="38" t="n"/>
      <c r="Y34" s="61">
        <f>IF($A34="","",IF(OR($W34="",$W34="None"),0,IFERROR($X34*VLOOKUP($W34,'Settings'!$A$15:$B$114,2,FALSE),0)))</f>
        <v/>
      </c>
      <c r="Z34" s="61">
        <f>IF($A34="","",IFERROR(SUM($U34,$V34,$Y34),0))</f>
        <v/>
      </c>
      <c r="AA34" s="61" t="n"/>
      <c r="AB34" s="61">
        <f>IF($A34="","",IFERROR($T34*'Settings'!$B$4,0))</f>
        <v/>
      </c>
      <c r="AC34" s="61" t="n"/>
      <c r="AD34" s="61">
        <f>IF($A34="","",IFERROR(SUM($AA34,$AB34,$AC34),0))</f>
        <v/>
      </c>
      <c r="AE34" s="61">
        <f>IF($A34="","",IFERROR($Z34-$AD34,0))</f>
        <v/>
      </c>
      <c r="AF34" s="39">
        <f>IF($A34="","",IFERROR($AE34/$Z34,0))</f>
        <v/>
      </c>
      <c r="AG34" s="32" t="n"/>
      <c r="AH34" s="33" t="n"/>
      <c r="AI34" s="40">
        <f>IF($A34="","",IF($C34="Delivered",IFERROR(MAX(0,$AH34-$B34),0),IF($C34="Canceled",0,IFERROR(MAX(0,TODAY()-$B34),0))))</f>
        <v/>
      </c>
      <c r="AJ34" s="34" t="n"/>
    </row>
    <row r="35">
      <c r="A35" s="32" t="n"/>
      <c r="B35" s="33" t="n"/>
      <c r="C35" s="32" t="n"/>
      <c r="D35" s="32" t="n"/>
      <c r="E35" s="34" t="n"/>
      <c r="F35" s="32" t="n"/>
      <c r="G35" s="32" t="n"/>
      <c r="H35" s="32" t="n"/>
      <c r="I35" s="34" t="n"/>
      <c r="J35" s="60" t="n"/>
      <c r="K35" s="60" t="n"/>
      <c r="L35" s="32" t="n"/>
      <c r="M35" s="32" t="n"/>
      <c r="N35" s="32" t="n"/>
      <c r="O35" s="34" t="n"/>
      <c r="P35" s="34" t="n"/>
      <c r="Q35" s="36" t="n"/>
      <c r="R35" s="36" t="n"/>
      <c r="S35" s="36">
        <f>IF($A35="","",IFERROR(SUM($Q35:$R35),0))</f>
        <v/>
      </c>
      <c r="T35" s="36" t="n"/>
      <c r="U35" s="61" t="n"/>
      <c r="V35" s="61">
        <f>IF($A35="","",IFERROR($S35*'Settings'!$B$5,0))</f>
        <v/>
      </c>
      <c r="W35" s="32" t="n"/>
      <c r="X35" s="38" t="n"/>
      <c r="Y35" s="61">
        <f>IF($A35="","",IF(OR($W35="",$W35="None"),0,IFERROR($X35*VLOOKUP($W35,'Settings'!$A$15:$B$114,2,FALSE),0)))</f>
        <v/>
      </c>
      <c r="Z35" s="61">
        <f>IF($A35="","",IFERROR(SUM($U35,$V35,$Y35),0))</f>
        <v/>
      </c>
      <c r="AA35" s="61" t="n"/>
      <c r="AB35" s="61">
        <f>IF($A35="","",IFERROR($T35*'Settings'!$B$4,0))</f>
        <v/>
      </c>
      <c r="AC35" s="61" t="n"/>
      <c r="AD35" s="61">
        <f>IF($A35="","",IFERROR(SUM($AA35,$AB35,$AC35),0))</f>
        <v/>
      </c>
      <c r="AE35" s="61">
        <f>IF($A35="","",IFERROR($Z35-$AD35,0))</f>
        <v/>
      </c>
      <c r="AF35" s="39">
        <f>IF($A35="","",IFERROR($AE35/$Z35,0))</f>
        <v/>
      </c>
      <c r="AG35" s="32" t="n"/>
      <c r="AH35" s="33" t="n"/>
      <c r="AI35" s="40">
        <f>IF($A35="","",IF($C35="Delivered",IFERROR(MAX(0,$AH35-$B35),0),IF($C35="Canceled",0,IFERROR(MAX(0,TODAY()-$B35),0))))</f>
        <v/>
      </c>
      <c r="AJ35" s="34" t="n"/>
    </row>
    <row r="36">
      <c r="A36" s="32" t="n"/>
      <c r="B36" s="33" t="n"/>
      <c r="C36" s="32" t="n"/>
      <c r="D36" s="32" t="n"/>
      <c r="E36" s="34" t="n"/>
      <c r="F36" s="32" t="n"/>
      <c r="G36" s="32" t="n"/>
      <c r="H36" s="32" t="n"/>
      <c r="I36" s="34" t="n"/>
      <c r="J36" s="60" t="n"/>
      <c r="K36" s="60" t="n"/>
      <c r="L36" s="32" t="n"/>
      <c r="M36" s="32" t="n"/>
      <c r="N36" s="32" t="n"/>
      <c r="O36" s="34" t="n"/>
      <c r="P36" s="34" t="n"/>
      <c r="Q36" s="36" t="n"/>
      <c r="R36" s="36" t="n"/>
      <c r="S36" s="36">
        <f>IF($A36="","",IFERROR(SUM($Q36:$R36),0))</f>
        <v/>
      </c>
      <c r="T36" s="36" t="n"/>
      <c r="U36" s="61" t="n"/>
      <c r="V36" s="61">
        <f>IF($A36="","",IFERROR($S36*'Settings'!$B$5,0))</f>
        <v/>
      </c>
      <c r="W36" s="32" t="n"/>
      <c r="X36" s="38" t="n"/>
      <c r="Y36" s="61">
        <f>IF($A36="","",IF(OR($W36="",$W36="None"),0,IFERROR($X36*VLOOKUP($W36,'Settings'!$A$15:$B$114,2,FALSE),0)))</f>
        <v/>
      </c>
      <c r="Z36" s="61">
        <f>IF($A36="","",IFERROR(SUM($U36,$V36,$Y36),0))</f>
        <v/>
      </c>
      <c r="AA36" s="61" t="n"/>
      <c r="AB36" s="61">
        <f>IF($A36="","",IFERROR($T36*'Settings'!$B$4,0))</f>
        <v/>
      </c>
      <c r="AC36" s="61" t="n"/>
      <c r="AD36" s="61">
        <f>IF($A36="","",IFERROR(SUM($AA36,$AB36,$AC36),0))</f>
        <v/>
      </c>
      <c r="AE36" s="61">
        <f>IF($A36="","",IFERROR($Z36-$AD36,0))</f>
        <v/>
      </c>
      <c r="AF36" s="39">
        <f>IF($A36="","",IFERROR($AE36/$Z36,0))</f>
        <v/>
      </c>
      <c r="AG36" s="32" t="n"/>
      <c r="AH36" s="33" t="n"/>
      <c r="AI36" s="40">
        <f>IF($A36="","",IF($C36="Delivered",IFERROR(MAX(0,$AH36-$B36),0),IF($C36="Canceled",0,IFERROR(MAX(0,TODAY()-$B36),0))))</f>
        <v/>
      </c>
      <c r="AJ36" s="34" t="n"/>
    </row>
    <row r="37">
      <c r="A37" s="32" t="n"/>
      <c r="B37" s="33" t="n"/>
      <c r="C37" s="32" t="n"/>
      <c r="D37" s="32" t="n"/>
      <c r="E37" s="34" t="n"/>
      <c r="F37" s="32" t="n"/>
      <c r="G37" s="32" t="n"/>
      <c r="H37" s="32" t="n"/>
      <c r="I37" s="34" t="n"/>
      <c r="J37" s="60" t="n"/>
      <c r="K37" s="60" t="n"/>
      <c r="L37" s="32" t="n"/>
      <c r="M37" s="32" t="n"/>
      <c r="N37" s="32" t="n"/>
      <c r="O37" s="34" t="n"/>
      <c r="P37" s="34" t="n"/>
      <c r="Q37" s="36" t="n"/>
      <c r="R37" s="36" t="n"/>
      <c r="S37" s="36">
        <f>IF($A37="","",IFERROR(SUM($Q37:$R37),0))</f>
        <v/>
      </c>
      <c r="T37" s="36" t="n"/>
      <c r="U37" s="61" t="n"/>
      <c r="V37" s="61">
        <f>IF($A37="","",IFERROR($S37*'Settings'!$B$5,0))</f>
        <v/>
      </c>
      <c r="W37" s="32" t="n"/>
      <c r="X37" s="38" t="n"/>
      <c r="Y37" s="61">
        <f>IF($A37="","",IF(OR($W37="",$W37="None"),0,IFERROR($X37*VLOOKUP($W37,'Settings'!$A$15:$B$114,2,FALSE),0)))</f>
        <v/>
      </c>
      <c r="Z37" s="61">
        <f>IF($A37="","",IFERROR(SUM($U37,$V37,$Y37),0))</f>
        <v/>
      </c>
      <c r="AA37" s="61" t="n"/>
      <c r="AB37" s="61">
        <f>IF($A37="","",IFERROR($T37*'Settings'!$B$4,0))</f>
        <v/>
      </c>
      <c r="AC37" s="61" t="n"/>
      <c r="AD37" s="61">
        <f>IF($A37="","",IFERROR(SUM($AA37,$AB37,$AC37),0))</f>
        <v/>
      </c>
      <c r="AE37" s="61">
        <f>IF($A37="","",IFERROR($Z37-$AD37,0))</f>
        <v/>
      </c>
      <c r="AF37" s="39">
        <f>IF($A37="","",IFERROR($AE37/$Z37,0))</f>
        <v/>
      </c>
      <c r="AG37" s="32" t="n"/>
      <c r="AH37" s="33" t="n"/>
      <c r="AI37" s="40">
        <f>IF($A37="","",IF($C37="Delivered",IFERROR(MAX(0,$AH37-$B37),0),IF($C37="Canceled",0,IFERROR(MAX(0,TODAY()-$B37),0))))</f>
        <v/>
      </c>
      <c r="AJ37" s="34" t="n"/>
    </row>
    <row r="38">
      <c r="A38" s="32" t="n"/>
      <c r="B38" s="33" t="n"/>
      <c r="C38" s="32" t="n"/>
      <c r="D38" s="32" t="n"/>
      <c r="E38" s="34" t="n"/>
      <c r="F38" s="32" t="n"/>
      <c r="G38" s="32" t="n"/>
      <c r="H38" s="32" t="n"/>
      <c r="I38" s="34" t="n"/>
      <c r="J38" s="60" t="n"/>
      <c r="K38" s="60" t="n"/>
      <c r="L38" s="32" t="n"/>
      <c r="M38" s="32" t="n"/>
      <c r="N38" s="32" t="n"/>
      <c r="O38" s="34" t="n"/>
      <c r="P38" s="34" t="n"/>
      <c r="Q38" s="36" t="n"/>
      <c r="R38" s="36" t="n"/>
      <c r="S38" s="36">
        <f>IF($A38="","",IFERROR(SUM($Q38:$R38),0))</f>
        <v/>
      </c>
      <c r="T38" s="36" t="n"/>
      <c r="U38" s="61" t="n"/>
      <c r="V38" s="61">
        <f>IF($A38="","",IFERROR($S38*'Settings'!$B$5,0))</f>
        <v/>
      </c>
      <c r="W38" s="32" t="n"/>
      <c r="X38" s="38" t="n"/>
      <c r="Y38" s="61">
        <f>IF($A38="","",IF(OR($W38="",$W38="None"),0,IFERROR($X38*VLOOKUP($W38,'Settings'!$A$15:$B$114,2,FALSE),0)))</f>
        <v/>
      </c>
      <c r="Z38" s="61">
        <f>IF($A38="","",IFERROR(SUM($U38,$V38,$Y38),0))</f>
        <v/>
      </c>
      <c r="AA38" s="61" t="n"/>
      <c r="AB38" s="61">
        <f>IF($A38="","",IFERROR($T38*'Settings'!$B$4,0))</f>
        <v/>
      </c>
      <c r="AC38" s="61" t="n"/>
      <c r="AD38" s="61">
        <f>IF($A38="","",IFERROR(SUM($AA38,$AB38,$AC38),0))</f>
        <v/>
      </c>
      <c r="AE38" s="61">
        <f>IF($A38="","",IFERROR($Z38-$AD38,0))</f>
        <v/>
      </c>
      <c r="AF38" s="39">
        <f>IF($A38="","",IFERROR($AE38/$Z38,0))</f>
        <v/>
      </c>
      <c r="AG38" s="32" t="n"/>
      <c r="AH38" s="33" t="n"/>
      <c r="AI38" s="40">
        <f>IF($A38="","",IF($C38="Delivered",IFERROR(MAX(0,$AH38-$B38),0),IF($C38="Canceled",0,IFERROR(MAX(0,TODAY()-$B38),0))))</f>
        <v/>
      </c>
      <c r="AJ38" s="34" t="n"/>
    </row>
    <row r="39">
      <c r="A39" s="32" t="n"/>
      <c r="B39" s="33" t="n"/>
      <c r="C39" s="32" t="n"/>
      <c r="D39" s="32" t="n"/>
      <c r="E39" s="34" t="n"/>
      <c r="F39" s="32" t="n"/>
      <c r="G39" s="32" t="n"/>
      <c r="H39" s="32" t="n"/>
      <c r="I39" s="34" t="n"/>
      <c r="J39" s="60" t="n"/>
      <c r="K39" s="60" t="n"/>
      <c r="L39" s="32" t="n"/>
      <c r="M39" s="32" t="n"/>
      <c r="N39" s="32" t="n"/>
      <c r="O39" s="34" t="n"/>
      <c r="P39" s="34" t="n"/>
      <c r="Q39" s="36" t="n"/>
      <c r="R39" s="36" t="n"/>
      <c r="S39" s="36">
        <f>IF($A39="","",IFERROR(SUM($Q39:$R39),0))</f>
        <v/>
      </c>
      <c r="T39" s="36" t="n"/>
      <c r="U39" s="61" t="n"/>
      <c r="V39" s="61">
        <f>IF($A39="","",IFERROR($S39*'Settings'!$B$5,0))</f>
        <v/>
      </c>
      <c r="W39" s="32" t="n"/>
      <c r="X39" s="38" t="n"/>
      <c r="Y39" s="61">
        <f>IF($A39="","",IF(OR($W39="",$W39="None"),0,IFERROR($X39*VLOOKUP($W39,'Settings'!$A$15:$B$114,2,FALSE),0)))</f>
        <v/>
      </c>
      <c r="Z39" s="61">
        <f>IF($A39="","",IFERROR(SUM($U39,$V39,$Y39),0))</f>
        <v/>
      </c>
      <c r="AA39" s="61" t="n"/>
      <c r="AB39" s="61">
        <f>IF($A39="","",IFERROR($T39*'Settings'!$B$4,0))</f>
        <v/>
      </c>
      <c r="AC39" s="61" t="n"/>
      <c r="AD39" s="61">
        <f>IF($A39="","",IFERROR(SUM($AA39,$AB39,$AC39),0))</f>
        <v/>
      </c>
      <c r="AE39" s="61">
        <f>IF($A39="","",IFERROR($Z39-$AD39,0))</f>
        <v/>
      </c>
      <c r="AF39" s="39">
        <f>IF($A39="","",IFERROR($AE39/$Z39,0))</f>
        <v/>
      </c>
      <c r="AG39" s="32" t="n"/>
      <c r="AH39" s="33" t="n"/>
      <c r="AI39" s="40">
        <f>IF($A39="","",IF($C39="Delivered",IFERROR(MAX(0,$AH39-$B39),0),IF($C39="Canceled",0,IFERROR(MAX(0,TODAY()-$B39),0))))</f>
        <v/>
      </c>
      <c r="AJ39" s="34" t="n"/>
    </row>
    <row r="40">
      <c r="A40" s="32" t="n"/>
      <c r="B40" s="33" t="n"/>
      <c r="C40" s="32" t="n"/>
      <c r="D40" s="32" t="n"/>
      <c r="E40" s="34" t="n"/>
      <c r="F40" s="32" t="n"/>
      <c r="G40" s="32" t="n"/>
      <c r="H40" s="32" t="n"/>
      <c r="I40" s="34" t="n"/>
      <c r="J40" s="60" t="n"/>
      <c r="K40" s="60" t="n"/>
      <c r="L40" s="32" t="n"/>
      <c r="M40" s="32" t="n"/>
      <c r="N40" s="32" t="n"/>
      <c r="O40" s="34" t="n"/>
      <c r="P40" s="34" t="n"/>
      <c r="Q40" s="36" t="n"/>
      <c r="R40" s="36" t="n"/>
      <c r="S40" s="36">
        <f>IF($A40="","",IFERROR(SUM($Q40:$R40),0))</f>
        <v/>
      </c>
      <c r="T40" s="36" t="n"/>
      <c r="U40" s="61" t="n"/>
      <c r="V40" s="61">
        <f>IF($A40="","",IFERROR($S40*'Settings'!$B$5,0))</f>
        <v/>
      </c>
      <c r="W40" s="32" t="n"/>
      <c r="X40" s="38" t="n"/>
      <c r="Y40" s="61">
        <f>IF($A40="","",IF(OR($W40="",$W40="None"),0,IFERROR($X40*VLOOKUP($W40,'Settings'!$A$15:$B$114,2,FALSE),0)))</f>
        <v/>
      </c>
      <c r="Z40" s="61">
        <f>IF($A40="","",IFERROR(SUM($U40,$V40,$Y40),0))</f>
        <v/>
      </c>
      <c r="AA40" s="61" t="n"/>
      <c r="AB40" s="61">
        <f>IF($A40="","",IFERROR($T40*'Settings'!$B$4,0))</f>
        <v/>
      </c>
      <c r="AC40" s="61" t="n"/>
      <c r="AD40" s="61">
        <f>IF($A40="","",IFERROR(SUM($AA40,$AB40,$AC40),0))</f>
        <v/>
      </c>
      <c r="AE40" s="61">
        <f>IF($A40="","",IFERROR($Z40-$AD40,0))</f>
        <v/>
      </c>
      <c r="AF40" s="39">
        <f>IF($A40="","",IFERROR($AE40/$Z40,0))</f>
        <v/>
      </c>
      <c r="AG40" s="32" t="n"/>
      <c r="AH40" s="33" t="n"/>
      <c r="AI40" s="40">
        <f>IF($A40="","",IF($C40="Delivered",IFERROR(MAX(0,$AH40-$B40),0),IF($C40="Canceled",0,IFERROR(MAX(0,TODAY()-$B40),0))))</f>
        <v/>
      </c>
      <c r="AJ40" s="34" t="n"/>
    </row>
    <row r="41">
      <c r="A41" s="32" t="n"/>
      <c r="B41" s="33" t="n"/>
      <c r="C41" s="32" t="n"/>
      <c r="D41" s="32" t="n"/>
      <c r="E41" s="34" t="n"/>
      <c r="F41" s="32" t="n"/>
      <c r="G41" s="32" t="n"/>
      <c r="H41" s="32" t="n"/>
      <c r="I41" s="34" t="n"/>
      <c r="J41" s="60" t="n"/>
      <c r="K41" s="60" t="n"/>
      <c r="L41" s="32" t="n"/>
      <c r="M41" s="32" t="n"/>
      <c r="N41" s="32" t="n"/>
      <c r="O41" s="34" t="n"/>
      <c r="P41" s="34" t="n"/>
      <c r="Q41" s="36" t="n"/>
      <c r="R41" s="36" t="n"/>
      <c r="S41" s="36">
        <f>IF($A41="","",IFERROR(SUM($Q41:$R41),0))</f>
        <v/>
      </c>
      <c r="T41" s="36" t="n"/>
      <c r="U41" s="61" t="n"/>
      <c r="V41" s="61">
        <f>IF($A41="","",IFERROR($S41*'Settings'!$B$5,0))</f>
        <v/>
      </c>
      <c r="W41" s="32" t="n"/>
      <c r="X41" s="38" t="n"/>
      <c r="Y41" s="61">
        <f>IF($A41="","",IF(OR($W41="",$W41="None"),0,IFERROR($X41*VLOOKUP($W41,'Settings'!$A$15:$B$114,2,FALSE),0)))</f>
        <v/>
      </c>
      <c r="Z41" s="61">
        <f>IF($A41="","",IFERROR(SUM($U41,$V41,$Y41),0))</f>
        <v/>
      </c>
      <c r="AA41" s="61" t="n"/>
      <c r="AB41" s="61">
        <f>IF($A41="","",IFERROR($T41*'Settings'!$B$4,0))</f>
        <v/>
      </c>
      <c r="AC41" s="61" t="n"/>
      <c r="AD41" s="61">
        <f>IF($A41="","",IFERROR(SUM($AA41,$AB41,$AC41),0))</f>
        <v/>
      </c>
      <c r="AE41" s="61">
        <f>IF($A41="","",IFERROR($Z41-$AD41,0))</f>
        <v/>
      </c>
      <c r="AF41" s="39">
        <f>IF($A41="","",IFERROR($AE41/$Z41,0))</f>
        <v/>
      </c>
      <c r="AG41" s="32" t="n"/>
      <c r="AH41" s="33" t="n"/>
      <c r="AI41" s="40">
        <f>IF($A41="","",IF($C41="Delivered",IFERROR(MAX(0,$AH41-$B41),0),IF($C41="Canceled",0,IFERROR(MAX(0,TODAY()-$B41),0))))</f>
        <v/>
      </c>
      <c r="AJ41" s="34" t="n"/>
    </row>
    <row r="42">
      <c r="A42" s="32" t="n"/>
      <c r="B42" s="33" t="n"/>
      <c r="C42" s="32" t="n"/>
      <c r="D42" s="32" t="n"/>
      <c r="E42" s="34" t="n"/>
      <c r="F42" s="32" t="n"/>
      <c r="G42" s="32" t="n"/>
      <c r="H42" s="32" t="n"/>
      <c r="I42" s="34" t="n"/>
      <c r="J42" s="60" t="n"/>
      <c r="K42" s="60" t="n"/>
      <c r="L42" s="32" t="n"/>
      <c r="M42" s="32" t="n"/>
      <c r="N42" s="32" t="n"/>
      <c r="O42" s="34" t="n"/>
      <c r="P42" s="34" t="n"/>
      <c r="Q42" s="36" t="n"/>
      <c r="R42" s="36" t="n"/>
      <c r="S42" s="36">
        <f>IF($A42="","",IFERROR(SUM($Q42:$R42),0))</f>
        <v/>
      </c>
      <c r="T42" s="36" t="n"/>
      <c r="U42" s="61" t="n"/>
      <c r="V42" s="61">
        <f>IF($A42="","",IFERROR($S42*'Settings'!$B$5,0))</f>
        <v/>
      </c>
      <c r="W42" s="32" t="n"/>
      <c r="X42" s="38" t="n"/>
      <c r="Y42" s="61">
        <f>IF($A42="","",IF(OR($W42="",$W42="None"),0,IFERROR($X42*VLOOKUP($W42,'Settings'!$A$15:$B$114,2,FALSE),0)))</f>
        <v/>
      </c>
      <c r="Z42" s="61">
        <f>IF($A42="","",IFERROR(SUM($U42,$V42,$Y42),0))</f>
        <v/>
      </c>
      <c r="AA42" s="61" t="n"/>
      <c r="AB42" s="61">
        <f>IF($A42="","",IFERROR($T42*'Settings'!$B$4,0))</f>
        <v/>
      </c>
      <c r="AC42" s="61" t="n"/>
      <c r="AD42" s="61">
        <f>IF($A42="","",IFERROR(SUM($AA42,$AB42,$AC42),0))</f>
        <v/>
      </c>
      <c r="AE42" s="61">
        <f>IF($A42="","",IFERROR($Z42-$AD42,0))</f>
        <v/>
      </c>
      <c r="AF42" s="39">
        <f>IF($A42="","",IFERROR($AE42/$Z42,0))</f>
        <v/>
      </c>
      <c r="AG42" s="32" t="n"/>
      <c r="AH42" s="33" t="n"/>
      <c r="AI42" s="40">
        <f>IF($A42="","",IF($C42="Delivered",IFERROR(MAX(0,$AH42-$B42),0),IF($C42="Canceled",0,IFERROR(MAX(0,TODAY()-$B42),0))))</f>
        <v/>
      </c>
      <c r="AJ42" s="34" t="n"/>
    </row>
    <row r="43">
      <c r="A43" s="32" t="n"/>
      <c r="B43" s="33" t="n"/>
      <c r="C43" s="32" t="n"/>
      <c r="D43" s="32" t="n"/>
      <c r="E43" s="34" t="n"/>
      <c r="F43" s="32" t="n"/>
      <c r="G43" s="32" t="n"/>
      <c r="H43" s="32" t="n"/>
      <c r="I43" s="34" t="n"/>
      <c r="J43" s="60" t="n"/>
      <c r="K43" s="60" t="n"/>
      <c r="L43" s="32" t="n"/>
      <c r="M43" s="32" t="n"/>
      <c r="N43" s="32" t="n"/>
      <c r="O43" s="34" t="n"/>
      <c r="P43" s="34" t="n"/>
      <c r="Q43" s="36" t="n"/>
      <c r="R43" s="36" t="n"/>
      <c r="S43" s="36">
        <f>IF($A43="","",IFERROR(SUM($Q43:$R43),0))</f>
        <v/>
      </c>
      <c r="T43" s="36" t="n"/>
      <c r="U43" s="61" t="n"/>
      <c r="V43" s="61">
        <f>IF($A43="","",IFERROR($S43*'Settings'!$B$5,0))</f>
        <v/>
      </c>
      <c r="W43" s="32" t="n"/>
      <c r="X43" s="38" t="n"/>
      <c r="Y43" s="61">
        <f>IF($A43="","",IF(OR($W43="",$W43="None"),0,IFERROR($X43*VLOOKUP($W43,'Settings'!$A$15:$B$114,2,FALSE),0)))</f>
        <v/>
      </c>
      <c r="Z43" s="61">
        <f>IF($A43="","",IFERROR(SUM($U43,$V43,$Y43),0))</f>
        <v/>
      </c>
      <c r="AA43" s="61" t="n"/>
      <c r="AB43" s="61">
        <f>IF($A43="","",IFERROR($T43*'Settings'!$B$4,0))</f>
        <v/>
      </c>
      <c r="AC43" s="61" t="n"/>
      <c r="AD43" s="61">
        <f>IF($A43="","",IFERROR(SUM($AA43,$AB43,$AC43),0))</f>
        <v/>
      </c>
      <c r="AE43" s="61">
        <f>IF($A43="","",IFERROR($Z43-$AD43,0))</f>
        <v/>
      </c>
      <c r="AF43" s="39">
        <f>IF($A43="","",IFERROR($AE43/$Z43,0))</f>
        <v/>
      </c>
      <c r="AG43" s="32" t="n"/>
      <c r="AH43" s="33" t="n"/>
      <c r="AI43" s="40">
        <f>IF($A43="","",IF($C43="Delivered",IFERROR(MAX(0,$AH43-$B43),0),IF($C43="Canceled",0,IFERROR(MAX(0,TODAY()-$B43),0))))</f>
        <v/>
      </c>
      <c r="AJ43" s="34" t="n"/>
    </row>
    <row r="44">
      <c r="A44" s="32" t="n"/>
      <c r="B44" s="33" t="n"/>
      <c r="C44" s="32" t="n"/>
      <c r="D44" s="32" t="n"/>
      <c r="E44" s="34" t="n"/>
      <c r="F44" s="32" t="n"/>
      <c r="G44" s="32" t="n"/>
      <c r="H44" s="32" t="n"/>
      <c r="I44" s="34" t="n"/>
      <c r="J44" s="60" t="n"/>
      <c r="K44" s="60" t="n"/>
      <c r="L44" s="32" t="n"/>
      <c r="M44" s="32" t="n"/>
      <c r="N44" s="32" t="n"/>
      <c r="O44" s="34" t="n"/>
      <c r="P44" s="34" t="n"/>
      <c r="Q44" s="36" t="n"/>
      <c r="R44" s="36" t="n"/>
      <c r="S44" s="36">
        <f>IF($A44="","",IFERROR(SUM($Q44:$R44),0))</f>
        <v/>
      </c>
      <c r="T44" s="36" t="n"/>
      <c r="U44" s="61" t="n"/>
      <c r="V44" s="61">
        <f>IF($A44="","",IFERROR($S44*'Settings'!$B$5,0))</f>
        <v/>
      </c>
      <c r="W44" s="32" t="n"/>
      <c r="X44" s="38" t="n"/>
      <c r="Y44" s="61">
        <f>IF($A44="","",IF(OR($W44="",$W44="None"),0,IFERROR($X44*VLOOKUP($W44,'Settings'!$A$15:$B$114,2,FALSE),0)))</f>
        <v/>
      </c>
      <c r="Z44" s="61">
        <f>IF($A44="","",IFERROR(SUM($U44,$V44,$Y44),0))</f>
        <v/>
      </c>
      <c r="AA44" s="61" t="n"/>
      <c r="AB44" s="61">
        <f>IF($A44="","",IFERROR($T44*'Settings'!$B$4,0))</f>
        <v/>
      </c>
      <c r="AC44" s="61" t="n"/>
      <c r="AD44" s="61">
        <f>IF($A44="","",IFERROR(SUM($AA44,$AB44,$AC44),0))</f>
        <v/>
      </c>
      <c r="AE44" s="61">
        <f>IF($A44="","",IFERROR($Z44-$AD44,0))</f>
        <v/>
      </c>
      <c r="AF44" s="39">
        <f>IF($A44="","",IFERROR($AE44/$Z44,0))</f>
        <v/>
      </c>
      <c r="AG44" s="32" t="n"/>
      <c r="AH44" s="33" t="n"/>
      <c r="AI44" s="40">
        <f>IF($A44="","",IF($C44="Delivered",IFERROR(MAX(0,$AH44-$B44),0),IF($C44="Canceled",0,IFERROR(MAX(0,TODAY()-$B44),0))))</f>
        <v/>
      </c>
      <c r="AJ44" s="34" t="n"/>
    </row>
    <row r="45">
      <c r="A45" s="32" t="n"/>
      <c r="B45" s="33" t="n"/>
      <c r="C45" s="32" t="n"/>
      <c r="D45" s="32" t="n"/>
      <c r="E45" s="34" t="n"/>
      <c r="F45" s="32" t="n"/>
      <c r="G45" s="32" t="n"/>
      <c r="H45" s="32" t="n"/>
      <c r="I45" s="34" t="n"/>
      <c r="J45" s="60" t="n"/>
      <c r="K45" s="60" t="n"/>
      <c r="L45" s="32" t="n"/>
      <c r="M45" s="32" t="n"/>
      <c r="N45" s="32" t="n"/>
      <c r="O45" s="34" t="n"/>
      <c r="P45" s="34" t="n"/>
      <c r="Q45" s="36" t="n"/>
      <c r="R45" s="36" t="n"/>
      <c r="S45" s="36">
        <f>IF($A45="","",IFERROR(SUM($Q45:$R45),0))</f>
        <v/>
      </c>
      <c r="T45" s="36" t="n"/>
      <c r="U45" s="61" t="n"/>
      <c r="V45" s="61">
        <f>IF($A45="","",IFERROR($S45*'Settings'!$B$5,0))</f>
        <v/>
      </c>
      <c r="W45" s="32" t="n"/>
      <c r="X45" s="38" t="n"/>
      <c r="Y45" s="61">
        <f>IF($A45="","",IF(OR($W45="",$W45="None"),0,IFERROR($X45*VLOOKUP($W45,'Settings'!$A$15:$B$114,2,FALSE),0)))</f>
        <v/>
      </c>
      <c r="Z45" s="61">
        <f>IF($A45="","",IFERROR(SUM($U45,$V45,$Y45),0))</f>
        <v/>
      </c>
      <c r="AA45" s="61" t="n"/>
      <c r="AB45" s="61">
        <f>IF($A45="","",IFERROR($T45*'Settings'!$B$4,0))</f>
        <v/>
      </c>
      <c r="AC45" s="61" t="n"/>
      <c r="AD45" s="61">
        <f>IF($A45="","",IFERROR(SUM($AA45,$AB45,$AC45),0))</f>
        <v/>
      </c>
      <c r="AE45" s="61">
        <f>IF($A45="","",IFERROR($Z45-$AD45,0))</f>
        <v/>
      </c>
      <c r="AF45" s="39">
        <f>IF($A45="","",IFERROR($AE45/$Z45,0))</f>
        <v/>
      </c>
      <c r="AG45" s="32" t="n"/>
      <c r="AH45" s="33" t="n"/>
      <c r="AI45" s="40">
        <f>IF($A45="","",IF($C45="Delivered",IFERROR(MAX(0,$AH45-$B45),0),IF($C45="Canceled",0,IFERROR(MAX(0,TODAY()-$B45),0))))</f>
        <v/>
      </c>
      <c r="AJ45" s="34" t="n"/>
    </row>
    <row r="46">
      <c r="A46" s="32" t="n"/>
      <c r="B46" s="33" t="n"/>
      <c r="C46" s="32" t="n"/>
      <c r="D46" s="32" t="n"/>
      <c r="E46" s="34" t="n"/>
      <c r="F46" s="32" t="n"/>
      <c r="G46" s="32" t="n"/>
      <c r="H46" s="32" t="n"/>
      <c r="I46" s="34" t="n"/>
      <c r="J46" s="60" t="n"/>
      <c r="K46" s="60" t="n"/>
      <c r="L46" s="32" t="n"/>
      <c r="M46" s="32" t="n"/>
      <c r="N46" s="32" t="n"/>
      <c r="O46" s="34" t="n"/>
      <c r="P46" s="34" t="n"/>
      <c r="Q46" s="36" t="n"/>
      <c r="R46" s="36" t="n"/>
      <c r="S46" s="36">
        <f>IF($A46="","",IFERROR(SUM($Q46:$R46),0))</f>
        <v/>
      </c>
      <c r="T46" s="36" t="n"/>
      <c r="U46" s="61" t="n"/>
      <c r="V46" s="61">
        <f>IF($A46="","",IFERROR($S46*'Settings'!$B$5,0))</f>
        <v/>
      </c>
      <c r="W46" s="32" t="n"/>
      <c r="X46" s="38" t="n"/>
      <c r="Y46" s="61">
        <f>IF($A46="","",IF(OR($W46="",$W46="None"),0,IFERROR($X46*VLOOKUP($W46,'Settings'!$A$15:$B$114,2,FALSE),0)))</f>
        <v/>
      </c>
      <c r="Z46" s="61">
        <f>IF($A46="","",IFERROR(SUM($U46,$V46,$Y46),0))</f>
        <v/>
      </c>
      <c r="AA46" s="61" t="n"/>
      <c r="AB46" s="61">
        <f>IF($A46="","",IFERROR($T46*'Settings'!$B$4,0))</f>
        <v/>
      </c>
      <c r="AC46" s="61" t="n"/>
      <c r="AD46" s="61">
        <f>IF($A46="","",IFERROR(SUM($AA46,$AB46,$AC46),0))</f>
        <v/>
      </c>
      <c r="AE46" s="61">
        <f>IF($A46="","",IFERROR($Z46-$AD46,0))</f>
        <v/>
      </c>
      <c r="AF46" s="39">
        <f>IF($A46="","",IFERROR($AE46/$Z46,0))</f>
        <v/>
      </c>
      <c r="AG46" s="32" t="n"/>
      <c r="AH46" s="33" t="n"/>
      <c r="AI46" s="40">
        <f>IF($A46="","",IF($C46="Delivered",IFERROR(MAX(0,$AH46-$B46),0),IF($C46="Canceled",0,IFERROR(MAX(0,TODAY()-$B46),0))))</f>
        <v/>
      </c>
      <c r="AJ46" s="34" t="n"/>
    </row>
    <row r="47">
      <c r="A47" s="32" t="n"/>
      <c r="B47" s="33" t="n"/>
      <c r="C47" s="32" t="n"/>
      <c r="D47" s="32" t="n"/>
      <c r="E47" s="34" t="n"/>
      <c r="F47" s="32" t="n"/>
      <c r="G47" s="32" t="n"/>
      <c r="H47" s="32" t="n"/>
      <c r="I47" s="34" t="n"/>
      <c r="J47" s="60" t="n"/>
      <c r="K47" s="60" t="n"/>
      <c r="L47" s="32" t="n"/>
      <c r="M47" s="32" t="n"/>
      <c r="N47" s="32" t="n"/>
      <c r="O47" s="34" t="n"/>
      <c r="P47" s="34" t="n"/>
      <c r="Q47" s="36" t="n"/>
      <c r="R47" s="36" t="n"/>
      <c r="S47" s="36">
        <f>IF($A47="","",IFERROR(SUM($Q47:$R47),0))</f>
        <v/>
      </c>
      <c r="T47" s="36" t="n"/>
      <c r="U47" s="61" t="n"/>
      <c r="V47" s="61">
        <f>IF($A47="","",IFERROR($S47*'Settings'!$B$5,0))</f>
        <v/>
      </c>
      <c r="W47" s="32" t="n"/>
      <c r="X47" s="38" t="n"/>
      <c r="Y47" s="61">
        <f>IF($A47="","",IF(OR($W47="",$W47="None"),0,IFERROR($X47*VLOOKUP($W47,'Settings'!$A$15:$B$114,2,FALSE),0)))</f>
        <v/>
      </c>
      <c r="Z47" s="61">
        <f>IF($A47="","",IFERROR(SUM($U47,$V47,$Y47),0))</f>
        <v/>
      </c>
      <c r="AA47" s="61" t="n"/>
      <c r="AB47" s="61">
        <f>IF($A47="","",IFERROR($T47*'Settings'!$B$4,0))</f>
        <v/>
      </c>
      <c r="AC47" s="61" t="n"/>
      <c r="AD47" s="61">
        <f>IF($A47="","",IFERROR(SUM($AA47,$AB47,$AC47),0))</f>
        <v/>
      </c>
      <c r="AE47" s="61">
        <f>IF($A47="","",IFERROR($Z47-$AD47,0))</f>
        <v/>
      </c>
      <c r="AF47" s="39">
        <f>IF($A47="","",IFERROR($AE47/$Z47,0))</f>
        <v/>
      </c>
      <c r="AG47" s="32" t="n"/>
      <c r="AH47" s="33" t="n"/>
      <c r="AI47" s="40">
        <f>IF($A47="","",IF($C47="Delivered",IFERROR(MAX(0,$AH47-$B47),0),IF($C47="Canceled",0,IFERROR(MAX(0,TODAY()-$B47),0))))</f>
        <v/>
      </c>
      <c r="AJ47" s="34" t="n"/>
    </row>
    <row r="48">
      <c r="A48" s="32" t="n"/>
      <c r="B48" s="33" t="n"/>
      <c r="C48" s="32" t="n"/>
      <c r="D48" s="32" t="n"/>
      <c r="E48" s="34" t="n"/>
      <c r="F48" s="32" t="n"/>
      <c r="G48" s="32" t="n"/>
      <c r="H48" s="32" t="n"/>
      <c r="I48" s="34" t="n"/>
      <c r="J48" s="60" t="n"/>
      <c r="K48" s="60" t="n"/>
      <c r="L48" s="32" t="n"/>
      <c r="M48" s="32" t="n"/>
      <c r="N48" s="32" t="n"/>
      <c r="O48" s="34" t="n"/>
      <c r="P48" s="34" t="n"/>
      <c r="Q48" s="36" t="n"/>
      <c r="R48" s="36" t="n"/>
      <c r="S48" s="36">
        <f>IF($A48="","",IFERROR(SUM($Q48:$R48),0))</f>
        <v/>
      </c>
      <c r="T48" s="36" t="n"/>
      <c r="U48" s="61" t="n"/>
      <c r="V48" s="61">
        <f>IF($A48="","",IFERROR($S48*'Settings'!$B$5,0))</f>
        <v/>
      </c>
      <c r="W48" s="32" t="n"/>
      <c r="X48" s="38" t="n"/>
      <c r="Y48" s="61">
        <f>IF($A48="","",IF(OR($W48="",$W48="None"),0,IFERROR($X48*VLOOKUP($W48,'Settings'!$A$15:$B$114,2,FALSE),0)))</f>
        <v/>
      </c>
      <c r="Z48" s="61">
        <f>IF($A48="","",IFERROR(SUM($U48,$V48,$Y48),0))</f>
        <v/>
      </c>
      <c r="AA48" s="61" t="n"/>
      <c r="AB48" s="61">
        <f>IF($A48="","",IFERROR($T48*'Settings'!$B$4,0))</f>
        <v/>
      </c>
      <c r="AC48" s="61" t="n"/>
      <c r="AD48" s="61">
        <f>IF($A48="","",IFERROR(SUM($AA48,$AB48,$AC48),0))</f>
        <v/>
      </c>
      <c r="AE48" s="61">
        <f>IF($A48="","",IFERROR($Z48-$AD48,0))</f>
        <v/>
      </c>
      <c r="AF48" s="39">
        <f>IF($A48="","",IFERROR($AE48/$Z48,0))</f>
        <v/>
      </c>
      <c r="AG48" s="32" t="n"/>
      <c r="AH48" s="33" t="n"/>
      <c r="AI48" s="40">
        <f>IF($A48="","",IF($C48="Delivered",IFERROR(MAX(0,$AH48-$B48),0),IF($C48="Canceled",0,IFERROR(MAX(0,TODAY()-$B48),0))))</f>
        <v/>
      </c>
      <c r="AJ48" s="34" t="n"/>
    </row>
    <row r="49">
      <c r="A49" s="32" t="n"/>
      <c r="B49" s="33" t="n"/>
      <c r="C49" s="32" t="n"/>
      <c r="D49" s="32" t="n"/>
      <c r="E49" s="34" t="n"/>
      <c r="F49" s="32" t="n"/>
      <c r="G49" s="32" t="n"/>
      <c r="H49" s="32" t="n"/>
      <c r="I49" s="34" t="n"/>
      <c r="J49" s="60" t="n"/>
      <c r="K49" s="60" t="n"/>
      <c r="L49" s="32" t="n"/>
      <c r="M49" s="32" t="n"/>
      <c r="N49" s="32" t="n"/>
      <c r="O49" s="34" t="n"/>
      <c r="P49" s="34" t="n"/>
      <c r="Q49" s="36" t="n"/>
      <c r="R49" s="36" t="n"/>
      <c r="S49" s="36">
        <f>IF($A49="","",IFERROR(SUM($Q49:$R49),0))</f>
        <v/>
      </c>
      <c r="T49" s="36" t="n"/>
      <c r="U49" s="61" t="n"/>
      <c r="V49" s="61">
        <f>IF($A49="","",IFERROR($S49*'Settings'!$B$5,0))</f>
        <v/>
      </c>
      <c r="W49" s="32" t="n"/>
      <c r="X49" s="38" t="n"/>
      <c r="Y49" s="61">
        <f>IF($A49="","",IF(OR($W49="",$W49="None"),0,IFERROR($X49*VLOOKUP($W49,'Settings'!$A$15:$B$114,2,FALSE),0)))</f>
        <v/>
      </c>
      <c r="Z49" s="61">
        <f>IF($A49="","",IFERROR(SUM($U49,$V49,$Y49),0))</f>
        <v/>
      </c>
      <c r="AA49" s="61" t="n"/>
      <c r="AB49" s="61">
        <f>IF($A49="","",IFERROR($T49*'Settings'!$B$4,0))</f>
        <v/>
      </c>
      <c r="AC49" s="61" t="n"/>
      <c r="AD49" s="61">
        <f>IF($A49="","",IFERROR(SUM($AA49,$AB49,$AC49),0))</f>
        <v/>
      </c>
      <c r="AE49" s="61">
        <f>IF($A49="","",IFERROR($Z49-$AD49,0))</f>
        <v/>
      </c>
      <c r="AF49" s="39">
        <f>IF($A49="","",IFERROR($AE49/$Z49,0))</f>
        <v/>
      </c>
      <c r="AG49" s="32" t="n"/>
      <c r="AH49" s="33" t="n"/>
      <c r="AI49" s="40">
        <f>IF($A49="","",IF($C49="Delivered",IFERROR(MAX(0,$AH49-$B49),0),IF($C49="Canceled",0,IFERROR(MAX(0,TODAY()-$B49),0))))</f>
        <v/>
      </c>
      <c r="AJ49" s="34" t="n"/>
    </row>
    <row r="50">
      <c r="A50" s="32" t="n"/>
      <c r="B50" s="33" t="n"/>
      <c r="C50" s="32" t="n"/>
      <c r="D50" s="32" t="n"/>
      <c r="E50" s="34" t="n"/>
      <c r="F50" s="32" t="n"/>
      <c r="G50" s="32" t="n"/>
      <c r="H50" s="32" t="n"/>
      <c r="I50" s="34" t="n"/>
      <c r="J50" s="60" t="n"/>
      <c r="K50" s="60" t="n"/>
      <c r="L50" s="32" t="n"/>
      <c r="M50" s="32" t="n"/>
      <c r="N50" s="32" t="n"/>
      <c r="O50" s="34" t="n"/>
      <c r="P50" s="34" t="n"/>
      <c r="Q50" s="36" t="n"/>
      <c r="R50" s="36" t="n"/>
      <c r="S50" s="36">
        <f>IF($A50="","",IFERROR(SUM($Q50:$R50),0))</f>
        <v/>
      </c>
      <c r="T50" s="36" t="n"/>
      <c r="U50" s="61" t="n"/>
      <c r="V50" s="61">
        <f>IF($A50="","",IFERROR($S50*'Settings'!$B$5,0))</f>
        <v/>
      </c>
      <c r="W50" s="32" t="n"/>
      <c r="X50" s="38" t="n"/>
      <c r="Y50" s="61">
        <f>IF($A50="","",IF(OR($W50="",$W50="None"),0,IFERROR($X50*VLOOKUP($W50,'Settings'!$A$15:$B$114,2,FALSE),0)))</f>
        <v/>
      </c>
      <c r="Z50" s="61">
        <f>IF($A50="","",IFERROR(SUM($U50,$V50,$Y50),0))</f>
        <v/>
      </c>
      <c r="AA50" s="61" t="n"/>
      <c r="AB50" s="61">
        <f>IF($A50="","",IFERROR($T50*'Settings'!$B$4,0))</f>
        <v/>
      </c>
      <c r="AC50" s="61" t="n"/>
      <c r="AD50" s="61">
        <f>IF($A50="","",IFERROR(SUM($AA50,$AB50,$AC50),0))</f>
        <v/>
      </c>
      <c r="AE50" s="61">
        <f>IF($A50="","",IFERROR($Z50-$AD50,0))</f>
        <v/>
      </c>
      <c r="AF50" s="39">
        <f>IF($A50="","",IFERROR($AE50/$Z50,0))</f>
        <v/>
      </c>
      <c r="AG50" s="32" t="n"/>
      <c r="AH50" s="33" t="n"/>
      <c r="AI50" s="40">
        <f>IF($A50="","",IF($C50="Delivered",IFERROR(MAX(0,$AH50-$B50),0),IF($C50="Canceled",0,IFERROR(MAX(0,TODAY()-$B50),0))))</f>
        <v/>
      </c>
      <c r="AJ50" s="34" t="n"/>
    </row>
    <row r="51">
      <c r="A51" s="32" t="n"/>
      <c r="B51" s="33" t="n"/>
      <c r="C51" s="32" t="n"/>
      <c r="D51" s="32" t="n"/>
      <c r="E51" s="34" t="n"/>
      <c r="F51" s="32" t="n"/>
      <c r="G51" s="32" t="n"/>
      <c r="H51" s="32" t="n"/>
      <c r="I51" s="34" t="n"/>
      <c r="J51" s="60" t="n"/>
      <c r="K51" s="60" t="n"/>
      <c r="L51" s="32" t="n"/>
      <c r="M51" s="32" t="n"/>
      <c r="N51" s="32" t="n"/>
      <c r="O51" s="34" t="n"/>
      <c r="P51" s="34" t="n"/>
      <c r="Q51" s="36" t="n"/>
      <c r="R51" s="36" t="n"/>
      <c r="S51" s="36">
        <f>IF($A51="","",IFERROR(SUM($Q51:$R51),0))</f>
        <v/>
      </c>
      <c r="T51" s="36" t="n"/>
      <c r="U51" s="61" t="n"/>
      <c r="V51" s="61">
        <f>IF($A51="","",IFERROR($S51*'Settings'!$B$5,0))</f>
        <v/>
      </c>
      <c r="W51" s="32" t="n"/>
      <c r="X51" s="38" t="n"/>
      <c r="Y51" s="61">
        <f>IF($A51="","",IF(OR($W51="",$W51="None"),0,IFERROR($X51*VLOOKUP($W51,'Settings'!$A$15:$B$114,2,FALSE),0)))</f>
        <v/>
      </c>
      <c r="Z51" s="61">
        <f>IF($A51="","",IFERROR(SUM($U51,$V51,$Y51),0))</f>
        <v/>
      </c>
      <c r="AA51" s="61" t="n"/>
      <c r="AB51" s="61">
        <f>IF($A51="","",IFERROR($T51*'Settings'!$B$4,0))</f>
        <v/>
      </c>
      <c r="AC51" s="61" t="n"/>
      <c r="AD51" s="61">
        <f>IF($A51="","",IFERROR(SUM($AA51,$AB51,$AC51),0))</f>
        <v/>
      </c>
      <c r="AE51" s="61">
        <f>IF($A51="","",IFERROR($Z51-$AD51,0))</f>
        <v/>
      </c>
      <c r="AF51" s="39">
        <f>IF($A51="","",IFERROR($AE51/$Z51,0))</f>
        <v/>
      </c>
      <c r="AG51" s="32" t="n"/>
      <c r="AH51" s="33" t="n"/>
      <c r="AI51" s="40">
        <f>IF($A51="","",IF($C51="Delivered",IFERROR(MAX(0,$AH51-$B51),0),IF($C51="Canceled",0,IFERROR(MAX(0,TODAY()-$B51),0))))</f>
        <v/>
      </c>
      <c r="AJ51" s="34" t="n"/>
    </row>
    <row r="52">
      <c r="A52" s="32" t="n"/>
      <c r="B52" s="33" t="n"/>
      <c r="C52" s="32" t="n"/>
      <c r="D52" s="32" t="n"/>
      <c r="E52" s="34" t="n"/>
      <c r="F52" s="32" t="n"/>
      <c r="G52" s="32" t="n"/>
      <c r="H52" s="32" t="n"/>
      <c r="I52" s="34" t="n"/>
      <c r="J52" s="60" t="n"/>
      <c r="K52" s="60" t="n"/>
      <c r="L52" s="32" t="n"/>
      <c r="M52" s="32" t="n"/>
      <c r="N52" s="32" t="n"/>
      <c r="O52" s="34" t="n"/>
      <c r="P52" s="34" t="n"/>
      <c r="Q52" s="36" t="n"/>
      <c r="R52" s="36" t="n"/>
      <c r="S52" s="36">
        <f>IF($A52="","",IFERROR(SUM($Q52:$R52),0))</f>
        <v/>
      </c>
      <c r="T52" s="36" t="n"/>
      <c r="U52" s="61" t="n"/>
      <c r="V52" s="61">
        <f>IF($A52="","",IFERROR($S52*'Settings'!$B$5,0))</f>
        <v/>
      </c>
      <c r="W52" s="32" t="n"/>
      <c r="X52" s="38" t="n"/>
      <c r="Y52" s="61">
        <f>IF($A52="","",IF(OR($W52="",$W52="None"),0,IFERROR($X52*VLOOKUP($W52,'Settings'!$A$15:$B$114,2,FALSE),0)))</f>
        <v/>
      </c>
      <c r="Z52" s="61">
        <f>IF($A52="","",IFERROR(SUM($U52,$V52,$Y52),0))</f>
        <v/>
      </c>
      <c r="AA52" s="61" t="n"/>
      <c r="AB52" s="61">
        <f>IF($A52="","",IFERROR($T52*'Settings'!$B$4,0))</f>
        <v/>
      </c>
      <c r="AC52" s="61" t="n"/>
      <c r="AD52" s="61">
        <f>IF($A52="","",IFERROR(SUM($AA52,$AB52,$AC52),0))</f>
        <v/>
      </c>
      <c r="AE52" s="61">
        <f>IF($A52="","",IFERROR($Z52-$AD52,0))</f>
        <v/>
      </c>
      <c r="AF52" s="39">
        <f>IF($A52="","",IFERROR($AE52/$Z52,0))</f>
        <v/>
      </c>
      <c r="AG52" s="32" t="n"/>
      <c r="AH52" s="33" t="n"/>
      <c r="AI52" s="40">
        <f>IF($A52="","",IF($C52="Delivered",IFERROR(MAX(0,$AH52-$B52),0),IF($C52="Canceled",0,IFERROR(MAX(0,TODAY()-$B52),0))))</f>
        <v/>
      </c>
      <c r="AJ52" s="34" t="n"/>
    </row>
    <row r="53">
      <c r="A53" s="32" t="n"/>
      <c r="B53" s="33" t="n"/>
      <c r="C53" s="32" t="n"/>
      <c r="D53" s="32" t="n"/>
      <c r="E53" s="34" t="n"/>
      <c r="F53" s="32" t="n"/>
      <c r="G53" s="32" t="n"/>
      <c r="H53" s="32" t="n"/>
      <c r="I53" s="34" t="n"/>
      <c r="J53" s="60" t="n"/>
      <c r="K53" s="60" t="n"/>
      <c r="L53" s="32" t="n"/>
      <c r="M53" s="32" t="n"/>
      <c r="N53" s="32" t="n"/>
      <c r="O53" s="34" t="n"/>
      <c r="P53" s="34" t="n"/>
      <c r="Q53" s="36" t="n"/>
      <c r="R53" s="36" t="n"/>
      <c r="S53" s="36">
        <f>IF($A53="","",IFERROR(SUM($Q53:$R53),0))</f>
        <v/>
      </c>
      <c r="T53" s="36" t="n"/>
      <c r="U53" s="61" t="n"/>
      <c r="V53" s="61">
        <f>IF($A53="","",IFERROR($S53*'Settings'!$B$5,0))</f>
        <v/>
      </c>
      <c r="W53" s="32" t="n"/>
      <c r="X53" s="38" t="n"/>
      <c r="Y53" s="61">
        <f>IF($A53="","",IF(OR($W53="",$W53="None"),0,IFERROR($X53*VLOOKUP($W53,'Settings'!$A$15:$B$114,2,FALSE),0)))</f>
        <v/>
      </c>
      <c r="Z53" s="61">
        <f>IF($A53="","",IFERROR(SUM($U53,$V53,$Y53),0))</f>
        <v/>
      </c>
      <c r="AA53" s="61" t="n"/>
      <c r="AB53" s="61">
        <f>IF($A53="","",IFERROR($T53*'Settings'!$B$4,0))</f>
        <v/>
      </c>
      <c r="AC53" s="61" t="n"/>
      <c r="AD53" s="61">
        <f>IF($A53="","",IFERROR(SUM($AA53,$AB53,$AC53),0))</f>
        <v/>
      </c>
      <c r="AE53" s="61">
        <f>IF($A53="","",IFERROR($Z53-$AD53,0))</f>
        <v/>
      </c>
      <c r="AF53" s="39">
        <f>IF($A53="","",IFERROR($AE53/$Z53,0))</f>
        <v/>
      </c>
      <c r="AG53" s="32" t="n"/>
      <c r="AH53" s="33" t="n"/>
      <c r="AI53" s="40">
        <f>IF($A53="","",IF($C53="Delivered",IFERROR(MAX(0,$AH53-$B53),0),IF($C53="Canceled",0,IFERROR(MAX(0,TODAY()-$B53),0))))</f>
        <v/>
      </c>
      <c r="AJ53" s="34" t="n"/>
    </row>
    <row r="54">
      <c r="A54" s="32" t="n"/>
      <c r="B54" s="33" t="n"/>
      <c r="C54" s="32" t="n"/>
      <c r="D54" s="32" t="n"/>
      <c r="E54" s="34" t="n"/>
      <c r="F54" s="32" t="n"/>
      <c r="G54" s="32" t="n"/>
      <c r="H54" s="32" t="n"/>
      <c r="I54" s="34" t="n"/>
      <c r="J54" s="60" t="n"/>
      <c r="K54" s="60" t="n"/>
      <c r="L54" s="32" t="n"/>
      <c r="M54" s="32" t="n"/>
      <c r="N54" s="32" t="n"/>
      <c r="O54" s="34" t="n"/>
      <c r="P54" s="34" t="n"/>
      <c r="Q54" s="36" t="n"/>
      <c r="R54" s="36" t="n"/>
      <c r="S54" s="36">
        <f>IF($A54="","",IFERROR(SUM($Q54:$R54),0))</f>
        <v/>
      </c>
      <c r="T54" s="36" t="n"/>
      <c r="U54" s="61" t="n"/>
      <c r="V54" s="61">
        <f>IF($A54="","",IFERROR($S54*'Settings'!$B$5,0))</f>
        <v/>
      </c>
      <c r="W54" s="32" t="n"/>
      <c r="X54" s="38" t="n"/>
      <c r="Y54" s="61">
        <f>IF($A54="","",IF(OR($W54="",$W54="None"),0,IFERROR($X54*VLOOKUP($W54,'Settings'!$A$15:$B$114,2,FALSE),0)))</f>
        <v/>
      </c>
      <c r="Z54" s="61">
        <f>IF($A54="","",IFERROR(SUM($U54,$V54,$Y54),0))</f>
        <v/>
      </c>
      <c r="AA54" s="61" t="n"/>
      <c r="AB54" s="61">
        <f>IF($A54="","",IFERROR($T54*'Settings'!$B$4,0))</f>
        <v/>
      </c>
      <c r="AC54" s="61" t="n"/>
      <c r="AD54" s="61">
        <f>IF($A54="","",IFERROR(SUM($AA54,$AB54,$AC54),0))</f>
        <v/>
      </c>
      <c r="AE54" s="61">
        <f>IF($A54="","",IFERROR($Z54-$AD54,0))</f>
        <v/>
      </c>
      <c r="AF54" s="39">
        <f>IF($A54="","",IFERROR($AE54/$Z54,0))</f>
        <v/>
      </c>
      <c r="AG54" s="32" t="n"/>
      <c r="AH54" s="33" t="n"/>
      <c r="AI54" s="40">
        <f>IF($A54="","",IF($C54="Delivered",IFERROR(MAX(0,$AH54-$B54),0),IF($C54="Canceled",0,IFERROR(MAX(0,TODAY()-$B54),0))))</f>
        <v/>
      </c>
      <c r="AJ54" s="34" t="n"/>
    </row>
    <row r="55">
      <c r="A55" s="32" t="n"/>
      <c r="B55" s="33" t="n"/>
      <c r="C55" s="32" t="n"/>
      <c r="D55" s="32" t="n"/>
      <c r="E55" s="34" t="n"/>
      <c r="F55" s="32" t="n"/>
      <c r="G55" s="32" t="n"/>
      <c r="H55" s="32" t="n"/>
      <c r="I55" s="34" t="n"/>
      <c r="J55" s="60" t="n"/>
      <c r="K55" s="60" t="n"/>
      <c r="L55" s="32" t="n"/>
      <c r="M55" s="32" t="n"/>
      <c r="N55" s="32" t="n"/>
      <c r="O55" s="34" t="n"/>
      <c r="P55" s="34" t="n"/>
      <c r="Q55" s="36" t="n"/>
      <c r="R55" s="36" t="n"/>
      <c r="S55" s="36">
        <f>IF($A55="","",IFERROR(SUM($Q55:$R55),0))</f>
        <v/>
      </c>
      <c r="T55" s="36" t="n"/>
      <c r="U55" s="61" t="n"/>
      <c r="V55" s="61">
        <f>IF($A55="","",IFERROR($S55*'Settings'!$B$5,0))</f>
        <v/>
      </c>
      <c r="W55" s="32" t="n"/>
      <c r="X55" s="38" t="n"/>
      <c r="Y55" s="61">
        <f>IF($A55="","",IF(OR($W55="",$W55="None"),0,IFERROR($X55*VLOOKUP($W55,'Settings'!$A$15:$B$114,2,FALSE),0)))</f>
        <v/>
      </c>
      <c r="Z55" s="61">
        <f>IF($A55="","",IFERROR(SUM($U55,$V55,$Y55),0))</f>
        <v/>
      </c>
      <c r="AA55" s="61" t="n"/>
      <c r="AB55" s="61">
        <f>IF($A55="","",IFERROR($T55*'Settings'!$B$4,0))</f>
        <v/>
      </c>
      <c r="AC55" s="61" t="n"/>
      <c r="AD55" s="61">
        <f>IF($A55="","",IFERROR(SUM($AA55,$AB55,$AC55),0))</f>
        <v/>
      </c>
      <c r="AE55" s="61">
        <f>IF($A55="","",IFERROR($Z55-$AD55,0))</f>
        <v/>
      </c>
      <c r="AF55" s="39">
        <f>IF($A55="","",IFERROR($AE55/$Z55,0))</f>
        <v/>
      </c>
      <c r="AG55" s="32" t="n"/>
      <c r="AH55" s="33" t="n"/>
      <c r="AI55" s="40">
        <f>IF($A55="","",IF($C55="Delivered",IFERROR(MAX(0,$AH55-$B55),0),IF($C55="Canceled",0,IFERROR(MAX(0,TODAY()-$B55),0))))</f>
        <v/>
      </c>
      <c r="AJ55" s="34" t="n"/>
    </row>
    <row r="56">
      <c r="A56" s="32" t="n"/>
      <c r="B56" s="33" t="n"/>
      <c r="C56" s="32" t="n"/>
      <c r="D56" s="32" t="n"/>
      <c r="E56" s="34" t="n"/>
      <c r="F56" s="32" t="n"/>
      <c r="G56" s="32" t="n"/>
      <c r="H56" s="32" t="n"/>
      <c r="I56" s="34" t="n"/>
      <c r="J56" s="60" t="n"/>
      <c r="K56" s="60" t="n"/>
      <c r="L56" s="32" t="n"/>
      <c r="M56" s="32" t="n"/>
      <c r="N56" s="32" t="n"/>
      <c r="O56" s="34" t="n"/>
      <c r="P56" s="34" t="n"/>
      <c r="Q56" s="36" t="n"/>
      <c r="R56" s="36" t="n"/>
      <c r="S56" s="36">
        <f>IF($A56="","",IFERROR(SUM($Q56:$R56),0))</f>
        <v/>
      </c>
      <c r="T56" s="36" t="n"/>
      <c r="U56" s="61" t="n"/>
      <c r="V56" s="61">
        <f>IF($A56="","",IFERROR($S56*'Settings'!$B$5,0))</f>
        <v/>
      </c>
      <c r="W56" s="32" t="n"/>
      <c r="X56" s="38" t="n"/>
      <c r="Y56" s="61">
        <f>IF($A56="","",IF(OR($W56="",$W56="None"),0,IFERROR($X56*VLOOKUP($W56,'Settings'!$A$15:$B$114,2,FALSE),0)))</f>
        <v/>
      </c>
      <c r="Z56" s="61">
        <f>IF($A56="","",IFERROR(SUM($U56,$V56,$Y56),0))</f>
        <v/>
      </c>
      <c r="AA56" s="61" t="n"/>
      <c r="AB56" s="61">
        <f>IF($A56="","",IFERROR($T56*'Settings'!$B$4,0))</f>
        <v/>
      </c>
      <c r="AC56" s="61" t="n"/>
      <c r="AD56" s="61">
        <f>IF($A56="","",IFERROR(SUM($AA56,$AB56,$AC56),0))</f>
        <v/>
      </c>
      <c r="AE56" s="61">
        <f>IF($A56="","",IFERROR($Z56-$AD56,0))</f>
        <v/>
      </c>
      <c r="AF56" s="39">
        <f>IF($A56="","",IFERROR($AE56/$Z56,0))</f>
        <v/>
      </c>
      <c r="AG56" s="32" t="n"/>
      <c r="AH56" s="33" t="n"/>
      <c r="AI56" s="40">
        <f>IF($A56="","",IF($C56="Delivered",IFERROR(MAX(0,$AH56-$B56),0),IF($C56="Canceled",0,IFERROR(MAX(0,TODAY()-$B56),0))))</f>
        <v/>
      </c>
      <c r="AJ56" s="34" t="n"/>
    </row>
    <row r="57">
      <c r="A57" s="32" t="n"/>
      <c r="B57" s="33" t="n"/>
      <c r="C57" s="32" t="n"/>
      <c r="D57" s="32" t="n"/>
      <c r="E57" s="34" t="n"/>
      <c r="F57" s="32" t="n"/>
      <c r="G57" s="32" t="n"/>
      <c r="H57" s="32" t="n"/>
      <c r="I57" s="34" t="n"/>
      <c r="J57" s="60" t="n"/>
      <c r="K57" s="60" t="n"/>
      <c r="L57" s="32" t="n"/>
      <c r="M57" s="32" t="n"/>
      <c r="N57" s="32" t="n"/>
      <c r="O57" s="34" t="n"/>
      <c r="P57" s="34" t="n"/>
      <c r="Q57" s="36" t="n"/>
      <c r="R57" s="36" t="n"/>
      <c r="S57" s="36">
        <f>IF($A57="","",IFERROR(SUM($Q57:$R57),0))</f>
        <v/>
      </c>
      <c r="T57" s="36" t="n"/>
      <c r="U57" s="61" t="n"/>
      <c r="V57" s="61">
        <f>IF($A57="","",IFERROR($S57*'Settings'!$B$5,0))</f>
        <v/>
      </c>
      <c r="W57" s="32" t="n"/>
      <c r="X57" s="38" t="n"/>
      <c r="Y57" s="61">
        <f>IF($A57="","",IF(OR($W57="",$W57="None"),0,IFERROR($X57*VLOOKUP($W57,'Settings'!$A$15:$B$114,2,FALSE),0)))</f>
        <v/>
      </c>
      <c r="Z57" s="61">
        <f>IF($A57="","",IFERROR(SUM($U57,$V57,$Y57),0))</f>
        <v/>
      </c>
      <c r="AA57" s="61" t="n"/>
      <c r="AB57" s="61">
        <f>IF($A57="","",IFERROR($T57*'Settings'!$B$4,0))</f>
        <v/>
      </c>
      <c r="AC57" s="61" t="n"/>
      <c r="AD57" s="61">
        <f>IF($A57="","",IFERROR(SUM($AA57,$AB57,$AC57),0))</f>
        <v/>
      </c>
      <c r="AE57" s="61">
        <f>IF($A57="","",IFERROR($Z57-$AD57,0))</f>
        <v/>
      </c>
      <c r="AF57" s="39">
        <f>IF($A57="","",IFERROR($AE57/$Z57,0))</f>
        <v/>
      </c>
      <c r="AG57" s="32" t="n"/>
      <c r="AH57" s="33" t="n"/>
      <c r="AI57" s="40">
        <f>IF($A57="","",IF($C57="Delivered",IFERROR(MAX(0,$AH57-$B57),0),IF($C57="Canceled",0,IFERROR(MAX(0,TODAY()-$B57),0))))</f>
        <v/>
      </c>
      <c r="AJ57" s="34" t="n"/>
    </row>
    <row r="58">
      <c r="A58" s="32" t="n"/>
      <c r="B58" s="33" t="n"/>
      <c r="C58" s="32" t="n"/>
      <c r="D58" s="32" t="n"/>
      <c r="E58" s="34" t="n"/>
      <c r="F58" s="32" t="n"/>
      <c r="G58" s="32" t="n"/>
      <c r="H58" s="32" t="n"/>
      <c r="I58" s="34" t="n"/>
      <c r="J58" s="60" t="n"/>
      <c r="K58" s="60" t="n"/>
      <c r="L58" s="32" t="n"/>
      <c r="M58" s="32" t="n"/>
      <c r="N58" s="32" t="n"/>
      <c r="O58" s="34" t="n"/>
      <c r="P58" s="34" t="n"/>
      <c r="Q58" s="36" t="n"/>
      <c r="R58" s="36" t="n"/>
      <c r="S58" s="36">
        <f>IF($A58="","",IFERROR(SUM($Q58:$R58),0))</f>
        <v/>
      </c>
      <c r="T58" s="36" t="n"/>
      <c r="U58" s="61" t="n"/>
      <c r="V58" s="61">
        <f>IF($A58="","",IFERROR($S58*'Settings'!$B$5,0))</f>
        <v/>
      </c>
      <c r="W58" s="32" t="n"/>
      <c r="X58" s="38" t="n"/>
      <c r="Y58" s="61">
        <f>IF($A58="","",IF(OR($W58="",$W58="None"),0,IFERROR($X58*VLOOKUP($W58,'Settings'!$A$15:$B$114,2,FALSE),0)))</f>
        <v/>
      </c>
      <c r="Z58" s="61">
        <f>IF($A58="","",IFERROR(SUM($U58,$V58,$Y58),0))</f>
        <v/>
      </c>
      <c r="AA58" s="61" t="n"/>
      <c r="AB58" s="61">
        <f>IF($A58="","",IFERROR($T58*'Settings'!$B$4,0))</f>
        <v/>
      </c>
      <c r="AC58" s="61" t="n"/>
      <c r="AD58" s="61">
        <f>IF($A58="","",IFERROR(SUM($AA58,$AB58,$AC58),0))</f>
        <v/>
      </c>
      <c r="AE58" s="61">
        <f>IF($A58="","",IFERROR($Z58-$AD58,0))</f>
        <v/>
      </c>
      <c r="AF58" s="39">
        <f>IF($A58="","",IFERROR($AE58/$Z58,0))</f>
        <v/>
      </c>
      <c r="AG58" s="32" t="n"/>
      <c r="AH58" s="33" t="n"/>
      <c r="AI58" s="40">
        <f>IF($A58="","",IF($C58="Delivered",IFERROR(MAX(0,$AH58-$B58),0),IF($C58="Canceled",0,IFERROR(MAX(0,TODAY()-$B58),0))))</f>
        <v/>
      </c>
      <c r="AJ58" s="34" t="n"/>
    </row>
    <row r="59">
      <c r="A59" s="32" t="n"/>
      <c r="B59" s="33" t="n"/>
      <c r="C59" s="32" t="n"/>
      <c r="D59" s="32" t="n"/>
      <c r="E59" s="34" t="n"/>
      <c r="F59" s="32" t="n"/>
      <c r="G59" s="32" t="n"/>
      <c r="H59" s="32" t="n"/>
      <c r="I59" s="34" t="n"/>
      <c r="J59" s="60" t="n"/>
      <c r="K59" s="60" t="n"/>
      <c r="L59" s="32" t="n"/>
      <c r="M59" s="32" t="n"/>
      <c r="N59" s="32" t="n"/>
      <c r="O59" s="34" t="n"/>
      <c r="P59" s="34" t="n"/>
      <c r="Q59" s="36" t="n"/>
      <c r="R59" s="36" t="n"/>
      <c r="S59" s="36">
        <f>IF($A59="","",IFERROR(SUM($Q59:$R59),0))</f>
        <v/>
      </c>
      <c r="T59" s="36" t="n"/>
      <c r="U59" s="61" t="n"/>
      <c r="V59" s="61">
        <f>IF($A59="","",IFERROR($S59*'Settings'!$B$5,0))</f>
        <v/>
      </c>
      <c r="W59" s="32" t="n"/>
      <c r="X59" s="38" t="n"/>
      <c r="Y59" s="61">
        <f>IF($A59="","",IF(OR($W59="",$W59="None"),0,IFERROR($X59*VLOOKUP($W59,'Settings'!$A$15:$B$114,2,FALSE),0)))</f>
        <v/>
      </c>
      <c r="Z59" s="61">
        <f>IF($A59="","",IFERROR(SUM($U59,$V59,$Y59),0))</f>
        <v/>
      </c>
      <c r="AA59" s="61" t="n"/>
      <c r="AB59" s="61">
        <f>IF($A59="","",IFERROR($T59*'Settings'!$B$4,0))</f>
        <v/>
      </c>
      <c r="AC59" s="61" t="n"/>
      <c r="AD59" s="61">
        <f>IF($A59="","",IFERROR(SUM($AA59,$AB59,$AC59),0))</f>
        <v/>
      </c>
      <c r="AE59" s="61">
        <f>IF($A59="","",IFERROR($Z59-$AD59,0))</f>
        <v/>
      </c>
      <c r="AF59" s="39">
        <f>IF($A59="","",IFERROR($AE59/$Z59,0))</f>
        <v/>
      </c>
      <c r="AG59" s="32" t="n"/>
      <c r="AH59" s="33" t="n"/>
      <c r="AI59" s="40">
        <f>IF($A59="","",IF($C59="Delivered",IFERROR(MAX(0,$AH59-$B59),0),IF($C59="Canceled",0,IFERROR(MAX(0,TODAY()-$B59),0))))</f>
        <v/>
      </c>
      <c r="AJ59" s="34" t="n"/>
    </row>
    <row r="60">
      <c r="A60" s="32" t="n"/>
      <c r="B60" s="33" t="n"/>
      <c r="C60" s="32" t="n"/>
      <c r="D60" s="32" t="n"/>
      <c r="E60" s="34" t="n"/>
      <c r="F60" s="32" t="n"/>
      <c r="G60" s="32" t="n"/>
      <c r="H60" s="32" t="n"/>
      <c r="I60" s="34" t="n"/>
      <c r="J60" s="60" t="n"/>
      <c r="K60" s="60" t="n"/>
      <c r="L60" s="32" t="n"/>
      <c r="M60" s="32" t="n"/>
      <c r="N60" s="32" t="n"/>
      <c r="O60" s="34" t="n"/>
      <c r="P60" s="34" t="n"/>
      <c r="Q60" s="36" t="n"/>
      <c r="R60" s="36" t="n"/>
      <c r="S60" s="36">
        <f>IF($A60="","",IFERROR(SUM($Q60:$R60),0))</f>
        <v/>
      </c>
      <c r="T60" s="36" t="n"/>
      <c r="U60" s="61" t="n"/>
      <c r="V60" s="61">
        <f>IF($A60="","",IFERROR($S60*'Settings'!$B$5,0))</f>
        <v/>
      </c>
      <c r="W60" s="32" t="n"/>
      <c r="X60" s="38" t="n"/>
      <c r="Y60" s="61">
        <f>IF($A60="","",IF(OR($W60="",$W60="None"),0,IFERROR($X60*VLOOKUP($W60,'Settings'!$A$15:$B$114,2,FALSE),0)))</f>
        <v/>
      </c>
      <c r="Z60" s="61">
        <f>IF($A60="","",IFERROR(SUM($U60,$V60,$Y60),0))</f>
        <v/>
      </c>
      <c r="AA60" s="61" t="n"/>
      <c r="AB60" s="61">
        <f>IF($A60="","",IFERROR($T60*'Settings'!$B$4,0))</f>
        <v/>
      </c>
      <c r="AC60" s="61" t="n"/>
      <c r="AD60" s="61">
        <f>IF($A60="","",IFERROR(SUM($AA60,$AB60,$AC60),0))</f>
        <v/>
      </c>
      <c r="AE60" s="61">
        <f>IF($A60="","",IFERROR($Z60-$AD60,0))</f>
        <v/>
      </c>
      <c r="AF60" s="39">
        <f>IF($A60="","",IFERROR($AE60/$Z60,0))</f>
        <v/>
      </c>
      <c r="AG60" s="32" t="n"/>
      <c r="AH60" s="33" t="n"/>
      <c r="AI60" s="40">
        <f>IF($A60="","",IF($C60="Delivered",IFERROR(MAX(0,$AH60-$B60),0),IF($C60="Canceled",0,IFERROR(MAX(0,TODAY()-$B60),0))))</f>
        <v/>
      </c>
      <c r="AJ60" s="34" t="n"/>
    </row>
    <row r="61">
      <c r="A61" s="32" t="n"/>
      <c r="B61" s="33" t="n"/>
      <c r="C61" s="32" t="n"/>
      <c r="D61" s="32" t="n"/>
      <c r="E61" s="34" t="n"/>
      <c r="F61" s="32" t="n"/>
      <c r="G61" s="32" t="n"/>
      <c r="H61" s="32" t="n"/>
      <c r="I61" s="34" t="n"/>
      <c r="J61" s="60" t="n"/>
      <c r="K61" s="60" t="n"/>
      <c r="L61" s="32" t="n"/>
      <c r="M61" s="32" t="n"/>
      <c r="N61" s="32" t="n"/>
      <c r="O61" s="34" t="n"/>
      <c r="P61" s="34" t="n"/>
      <c r="Q61" s="36" t="n"/>
      <c r="R61" s="36" t="n"/>
      <c r="S61" s="36">
        <f>IF($A61="","",IFERROR(SUM($Q61:$R61),0))</f>
        <v/>
      </c>
      <c r="T61" s="36" t="n"/>
      <c r="U61" s="61" t="n"/>
      <c r="V61" s="61">
        <f>IF($A61="","",IFERROR($S61*'Settings'!$B$5,0))</f>
        <v/>
      </c>
      <c r="W61" s="32" t="n"/>
      <c r="X61" s="38" t="n"/>
      <c r="Y61" s="61">
        <f>IF($A61="","",IF(OR($W61="",$W61="None"),0,IFERROR($X61*VLOOKUP($W61,'Settings'!$A$15:$B$114,2,FALSE),0)))</f>
        <v/>
      </c>
      <c r="Z61" s="61">
        <f>IF($A61="","",IFERROR(SUM($U61,$V61,$Y61),0))</f>
        <v/>
      </c>
      <c r="AA61" s="61" t="n"/>
      <c r="AB61" s="61">
        <f>IF($A61="","",IFERROR($T61*'Settings'!$B$4,0))</f>
        <v/>
      </c>
      <c r="AC61" s="61" t="n"/>
      <c r="AD61" s="61">
        <f>IF($A61="","",IFERROR(SUM($AA61,$AB61,$AC61),0))</f>
        <v/>
      </c>
      <c r="AE61" s="61">
        <f>IF($A61="","",IFERROR($Z61-$AD61,0))</f>
        <v/>
      </c>
      <c r="AF61" s="39">
        <f>IF($A61="","",IFERROR($AE61/$Z61,0))</f>
        <v/>
      </c>
      <c r="AG61" s="32" t="n"/>
      <c r="AH61" s="33" t="n"/>
      <c r="AI61" s="40">
        <f>IF($A61="","",IF($C61="Delivered",IFERROR(MAX(0,$AH61-$B61),0),IF($C61="Canceled",0,IFERROR(MAX(0,TODAY()-$B61),0))))</f>
        <v/>
      </c>
      <c r="AJ61" s="34" t="n"/>
    </row>
    <row r="62">
      <c r="A62" s="32" t="n"/>
      <c r="B62" s="33" t="n"/>
      <c r="C62" s="32" t="n"/>
      <c r="D62" s="32" t="n"/>
      <c r="E62" s="34" t="n"/>
      <c r="F62" s="32" t="n"/>
      <c r="G62" s="32" t="n"/>
      <c r="H62" s="32" t="n"/>
      <c r="I62" s="34" t="n"/>
      <c r="J62" s="60" t="n"/>
      <c r="K62" s="60" t="n"/>
      <c r="L62" s="32" t="n"/>
      <c r="M62" s="32" t="n"/>
      <c r="N62" s="32" t="n"/>
      <c r="O62" s="34" t="n"/>
      <c r="P62" s="34" t="n"/>
      <c r="Q62" s="36" t="n"/>
      <c r="R62" s="36" t="n"/>
      <c r="S62" s="36">
        <f>IF($A62="","",IFERROR(SUM($Q62:$R62),0))</f>
        <v/>
      </c>
      <c r="T62" s="36" t="n"/>
      <c r="U62" s="61" t="n"/>
      <c r="V62" s="61">
        <f>IF($A62="","",IFERROR($S62*'Settings'!$B$5,0))</f>
        <v/>
      </c>
      <c r="W62" s="32" t="n"/>
      <c r="X62" s="38" t="n"/>
      <c r="Y62" s="61">
        <f>IF($A62="","",IF(OR($W62="",$W62="None"),0,IFERROR($X62*VLOOKUP($W62,'Settings'!$A$15:$B$114,2,FALSE),0)))</f>
        <v/>
      </c>
      <c r="Z62" s="61">
        <f>IF($A62="","",IFERROR(SUM($U62,$V62,$Y62),0))</f>
        <v/>
      </c>
      <c r="AA62" s="61" t="n"/>
      <c r="AB62" s="61">
        <f>IF($A62="","",IFERROR($T62*'Settings'!$B$4,0))</f>
        <v/>
      </c>
      <c r="AC62" s="61" t="n"/>
      <c r="AD62" s="61">
        <f>IF($A62="","",IFERROR(SUM($AA62,$AB62,$AC62),0))</f>
        <v/>
      </c>
      <c r="AE62" s="61">
        <f>IF($A62="","",IFERROR($Z62-$AD62,0))</f>
        <v/>
      </c>
      <c r="AF62" s="39">
        <f>IF($A62="","",IFERROR($AE62/$Z62,0))</f>
        <v/>
      </c>
      <c r="AG62" s="32" t="n"/>
      <c r="AH62" s="33" t="n"/>
      <c r="AI62" s="40">
        <f>IF($A62="","",IF($C62="Delivered",IFERROR(MAX(0,$AH62-$B62),0),IF($C62="Canceled",0,IFERROR(MAX(0,TODAY()-$B62),0))))</f>
        <v/>
      </c>
      <c r="AJ62" s="34" t="n"/>
    </row>
    <row r="63">
      <c r="A63" s="32" t="n"/>
      <c r="B63" s="33" t="n"/>
      <c r="C63" s="32" t="n"/>
      <c r="D63" s="32" t="n"/>
      <c r="E63" s="34" t="n"/>
      <c r="F63" s="32" t="n"/>
      <c r="G63" s="32" t="n"/>
      <c r="H63" s="32" t="n"/>
      <c r="I63" s="34" t="n"/>
      <c r="J63" s="60" t="n"/>
      <c r="K63" s="60" t="n"/>
      <c r="L63" s="32" t="n"/>
      <c r="M63" s="32" t="n"/>
      <c r="N63" s="32" t="n"/>
      <c r="O63" s="34" t="n"/>
      <c r="P63" s="34" t="n"/>
      <c r="Q63" s="36" t="n"/>
      <c r="R63" s="36" t="n"/>
      <c r="S63" s="36">
        <f>IF($A63="","",IFERROR(SUM($Q63:$R63),0))</f>
        <v/>
      </c>
      <c r="T63" s="36" t="n"/>
      <c r="U63" s="61" t="n"/>
      <c r="V63" s="61">
        <f>IF($A63="","",IFERROR($S63*'Settings'!$B$5,0))</f>
        <v/>
      </c>
      <c r="W63" s="32" t="n"/>
      <c r="X63" s="38" t="n"/>
      <c r="Y63" s="61">
        <f>IF($A63="","",IF(OR($W63="",$W63="None"),0,IFERROR($X63*VLOOKUP($W63,'Settings'!$A$15:$B$114,2,FALSE),0)))</f>
        <v/>
      </c>
      <c r="Z63" s="61">
        <f>IF($A63="","",IFERROR(SUM($U63,$V63,$Y63),0))</f>
        <v/>
      </c>
      <c r="AA63" s="61" t="n"/>
      <c r="AB63" s="61">
        <f>IF($A63="","",IFERROR($T63*'Settings'!$B$4,0))</f>
        <v/>
      </c>
      <c r="AC63" s="61" t="n"/>
      <c r="AD63" s="61">
        <f>IF($A63="","",IFERROR(SUM($AA63,$AB63,$AC63),0))</f>
        <v/>
      </c>
      <c r="AE63" s="61">
        <f>IF($A63="","",IFERROR($Z63-$AD63,0))</f>
        <v/>
      </c>
      <c r="AF63" s="39">
        <f>IF($A63="","",IFERROR($AE63/$Z63,0))</f>
        <v/>
      </c>
      <c r="AG63" s="32" t="n"/>
      <c r="AH63" s="33" t="n"/>
      <c r="AI63" s="40">
        <f>IF($A63="","",IF($C63="Delivered",IFERROR(MAX(0,$AH63-$B63),0),IF($C63="Canceled",0,IFERROR(MAX(0,TODAY()-$B63),0))))</f>
        <v/>
      </c>
      <c r="AJ63" s="34" t="n"/>
    </row>
    <row r="64">
      <c r="A64" s="32" t="n"/>
      <c r="B64" s="33" t="n"/>
      <c r="C64" s="32" t="n"/>
      <c r="D64" s="32" t="n"/>
      <c r="E64" s="34" t="n"/>
      <c r="F64" s="32" t="n"/>
      <c r="G64" s="32" t="n"/>
      <c r="H64" s="32" t="n"/>
      <c r="I64" s="34" t="n"/>
      <c r="J64" s="60" t="n"/>
      <c r="K64" s="60" t="n"/>
      <c r="L64" s="32" t="n"/>
      <c r="M64" s="32" t="n"/>
      <c r="N64" s="32" t="n"/>
      <c r="O64" s="34" t="n"/>
      <c r="P64" s="34" t="n"/>
      <c r="Q64" s="36" t="n"/>
      <c r="R64" s="36" t="n"/>
      <c r="S64" s="36">
        <f>IF($A64="","",IFERROR(SUM($Q64:$R64),0))</f>
        <v/>
      </c>
      <c r="T64" s="36" t="n"/>
      <c r="U64" s="61" t="n"/>
      <c r="V64" s="61">
        <f>IF($A64="","",IFERROR($S64*'Settings'!$B$5,0))</f>
        <v/>
      </c>
      <c r="W64" s="32" t="n"/>
      <c r="X64" s="38" t="n"/>
      <c r="Y64" s="61">
        <f>IF($A64="","",IF(OR($W64="",$W64="None"),0,IFERROR($X64*VLOOKUP($W64,'Settings'!$A$15:$B$114,2,FALSE),0)))</f>
        <v/>
      </c>
      <c r="Z64" s="61">
        <f>IF($A64="","",IFERROR(SUM($U64,$V64,$Y64),0))</f>
        <v/>
      </c>
      <c r="AA64" s="61" t="n"/>
      <c r="AB64" s="61">
        <f>IF($A64="","",IFERROR($T64*'Settings'!$B$4,0))</f>
        <v/>
      </c>
      <c r="AC64" s="61" t="n"/>
      <c r="AD64" s="61">
        <f>IF($A64="","",IFERROR(SUM($AA64,$AB64,$AC64),0))</f>
        <v/>
      </c>
      <c r="AE64" s="61">
        <f>IF($A64="","",IFERROR($Z64-$AD64,0))</f>
        <v/>
      </c>
      <c r="AF64" s="39">
        <f>IF($A64="","",IFERROR($AE64/$Z64,0))</f>
        <v/>
      </c>
      <c r="AG64" s="32" t="n"/>
      <c r="AH64" s="33" t="n"/>
      <c r="AI64" s="40">
        <f>IF($A64="","",IF($C64="Delivered",IFERROR(MAX(0,$AH64-$B64),0),IF($C64="Canceled",0,IFERROR(MAX(0,TODAY()-$B64),0))))</f>
        <v/>
      </c>
      <c r="AJ64" s="34" t="n"/>
    </row>
    <row r="65">
      <c r="A65" s="32" t="n"/>
      <c r="B65" s="33" t="n"/>
      <c r="C65" s="32" t="n"/>
      <c r="D65" s="32" t="n"/>
      <c r="E65" s="34" t="n"/>
      <c r="F65" s="32" t="n"/>
      <c r="G65" s="32" t="n"/>
      <c r="H65" s="32" t="n"/>
      <c r="I65" s="34" t="n"/>
      <c r="J65" s="60" t="n"/>
      <c r="K65" s="60" t="n"/>
      <c r="L65" s="32" t="n"/>
      <c r="M65" s="32" t="n"/>
      <c r="N65" s="32" t="n"/>
      <c r="O65" s="34" t="n"/>
      <c r="P65" s="34" t="n"/>
      <c r="Q65" s="36" t="n"/>
      <c r="R65" s="36" t="n"/>
      <c r="S65" s="36">
        <f>IF($A65="","",IFERROR(SUM($Q65:$R65),0))</f>
        <v/>
      </c>
      <c r="T65" s="36" t="n"/>
      <c r="U65" s="61" t="n"/>
      <c r="V65" s="61">
        <f>IF($A65="","",IFERROR($S65*'Settings'!$B$5,0))</f>
        <v/>
      </c>
      <c r="W65" s="32" t="n"/>
      <c r="X65" s="38" t="n"/>
      <c r="Y65" s="61">
        <f>IF($A65="","",IF(OR($W65="",$W65="None"),0,IFERROR($X65*VLOOKUP($W65,'Settings'!$A$15:$B$114,2,FALSE),0)))</f>
        <v/>
      </c>
      <c r="Z65" s="61">
        <f>IF($A65="","",IFERROR(SUM($U65,$V65,$Y65),0))</f>
        <v/>
      </c>
      <c r="AA65" s="61" t="n"/>
      <c r="AB65" s="61">
        <f>IF($A65="","",IFERROR($T65*'Settings'!$B$4,0))</f>
        <v/>
      </c>
      <c r="AC65" s="61" t="n"/>
      <c r="AD65" s="61">
        <f>IF($A65="","",IFERROR(SUM($AA65,$AB65,$AC65),0))</f>
        <v/>
      </c>
      <c r="AE65" s="61">
        <f>IF($A65="","",IFERROR($Z65-$AD65,0))</f>
        <v/>
      </c>
      <c r="AF65" s="39">
        <f>IF($A65="","",IFERROR($AE65/$Z65,0))</f>
        <v/>
      </c>
      <c r="AG65" s="32" t="n"/>
      <c r="AH65" s="33" t="n"/>
      <c r="AI65" s="40">
        <f>IF($A65="","",IF($C65="Delivered",IFERROR(MAX(0,$AH65-$B65),0),IF($C65="Canceled",0,IFERROR(MAX(0,TODAY()-$B65),0))))</f>
        <v/>
      </c>
      <c r="AJ65" s="34" t="n"/>
    </row>
    <row r="66">
      <c r="A66" s="32" t="n"/>
      <c r="B66" s="33" t="n"/>
      <c r="C66" s="32" t="n"/>
      <c r="D66" s="32" t="n"/>
      <c r="E66" s="34" t="n"/>
      <c r="F66" s="32" t="n"/>
      <c r="G66" s="32" t="n"/>
      <c r="H66" s="32" t="n"/>
      <c r="I66" s="34" t="n"/>
      <c r="J66" s="60" t="n"/>
      <c r="K66" s="60" t="n"/>
      <c r="L66" s="32" t="n"/>
      <c r="M66" s="32" t="n"/>
      <c r="N66" s="32" t="n"/>
      <c r="O66" s="34" t="n"/>
      <c r="P66" s="34" t="n"/>
      <c r="Q66" s="36" t="n"/>
      <c r="R66" s="36" t="n"/>
      <c r="S66" s="36">
        <f>IF($A66="","",IFERROR(SUM($Q66:$R66),0))</f>
        <v/>
      </c>
      <c r="T66" s="36" t="n"/>
      <c r="U66" s="61" t="n"/>
      <c r="V66" s="61">
        <f>IF($A66="","",IFERROR($S66*'Settings'!$B$5,0))</f>
        <v/>
      </c>
      <c r="W66" s="32" t="n"/>
      <c r="X66" s="38" t="n"/>
      <c r="Y66" s="61">
        <f>IF($A66="","",IF(OR($W66="",$W66="None"),0,IFERROR($X66*VLOOKUP($W66,'Settings'!$A$15:$B$114,2,FALSE),0)))</f>
        <v/>
      </c>
      <c r="Z66" s="61">
        <f>IF($A66="","",IFERROR(SUM($U66,$V66,$Y66),0))</f>
        <v/>
      </c>
      <c r="AA66" s="61" t="n"/>
      <c r="AB66" s="61">
        <f>IF($A66="","",IFERROR($T66*'Settings'!$B$4,0))</f>
        <v/>
      </c>
      <c r="AC66" s="61" t="n"/>
      <c r="AD66" s="61">
        <f>IF($A66="","",IFERROR(SUM($AA66,$AB66,$AC66),0))</f>
        <v/>
      </c>
      <c r="AE66" s="61">
        <f>IF($A66="","",IFERROR($Z66-$AD66,0))</f>
        <v/>
      </c>
      <c r="AF66" s="39">
        <f>IF($A66="","",IFERROR($AE66/$Z66,0))</f>
        <v/>
      </c>
      <c r="AG66" s="32" t="n"/>
      <c r="AH66" s="33" t="n"/>
      <c r="AI66" s="40">
        <f>IF($A66="","",IF($C66="Delivered",IFERROR(MAX(0,$AH66-$B66),0),IF($C66="Canceled",0,IFERROR(MAX(0,TODAY()-$B66),0))))</f>
        <v/>
      </c>
      <c r="AJ66" s="34" t="n"/>
    </row>
    <row r="67">
      <c r="A67" s="32" t="n"/>
      <c r="B67" s="33" t="n"/>
      <c r="C67" s="32" t="n"/>
      <c r="D67" s="32" t="n"/>
      <c r="E67" s="34" t="n"/>
      <c r="F67" s="32" t="n"/>
      <c r="G67" s="32" t="n"/>
      <c r="H67" s="32" t="n"/>
      <c r="I67" s="34" t="n"/>
      <c r="J67" s="60" t="n"/>
      <c r="K67" s="60" t="n"/>
      <c r="L67" s="32" t="n"/>
      <c r="M67" s="32" t="n"/>
      <c r="N67" s="32" t="n"/>
      <c r="O67" s="34" t="n"/>
      <c r="P67" s="34" t="n"/>
      <c r="Q67" s="36" t="n"/>
      <c r="R67" s="36" t="n"/>
      <c r="S67" s="36">
        <f>IF($A67="","",IFERROR(SUM($Q67:$R67),0))</f>
        <v/>
      </c>
      <c r="T67" s="36" t="n"/>
      <c r="U67" s="61" t="n"/>
      <c r="V67" s="61">
        <f>IF($A67="","",IFERROR($S67*'Settings'!$B$5,0))</f>
        <v/>
      </c>
      <c r="W67" s="32" t="n"/>
      <c r="X67" s="38" t="n"/>
      <c r="Y67" s="61">
        <f>IF($A67="","",IF(OR($W67="",$W67="None"),0,IFERROR($X67*VLOOKUP($W67,'Settings'!$A$15:$B$114,2,FALSE),0)))</f>
        <v/>
      </c>
      <c r="Z67" s="61">
        <f>IF($A67="","",IFERROR(SUM($U67,$V67,$Y67),0))</f>
        <v/>
      </c>
      <c r="AA67" s="61" t="n"/>
      <c r="AB67" s="61">
        <f>IF($A67="","",IFERROR($T67*'Settings'!$B$4,0))</f>
        <v/>
      </c>
      <c r="AC67" s="61" t="n"/>
      <c r="AD67" s="61">
        <f>IF($A67="","",IFERROR(SUM($AA67,$AB67,$AC67),0))</f>
        <v/>
      </c>
      <c r="AE67" s="61">
        <f>IF($A67="","",IFERROR($Z67-$AD67,0))</f>
        <v/>
      </c>
      <c r="AF67" s="39">
        <f>IF($A67="","",IFERROR($AE67/$Z67,0))</f>
        <v/>
      </c>
      <c r="AG67" s="32" t="n"/>
      <c r="AH67" s="33" t="n"/>
      <c r="AI67" s="40">
        <f>IF($A67="","",IF($C67="Delivered",IFERROR(MAX(0,$AH67-$B67),0),IF($C67="Canceled",0,IFERROR(MAX(0,TODAY()-$B67),0))))</f>
        <v/>
      </c>
      <c r="AJ67" s="34" t="n"/>
    </row>
    <row r="68">
      <c r="A68" s="32" t="n"/>
      <c r="B68" s="33" t="n"/>
      <c r="C68" s="32" t="n"/>
      <c r="D68" s="32" t="n"/>
      <c r="E68" s="34" t="n"/>
      <c r="F68" s="32" t="n"/>
      <c r="G68" s="32" t="n"/>
      <c r="H68" s="32" t="n"/>
      <c r="I68" s="34" t="n"/>
      <c r="J68" s="60" t="n"/>
      <c r="K68" s="60" t="n"/>
      <c r="L68" s="32" t="n"/>
      <c r="M68" s="32" t="n"/>
      <c r="N68" s="32" t="n"/>
      <c r="O68" s="34" t="n"/>
      <c r="P68" s="34" t="n"/>
      <c r="Q68" s="36" t="n"/>
      <c r="R68" s="36" t="n"/>
      <c r="S68" s="36">
        <f>IF($A68="","",IFERROR(SUM($Q68:$R68),0))</f>
        <v/>
      </c>
      <c r="T68" s="36" t="n"/>
      <c r="U68" s="61" t="n"/>
      <c r="V68" s="61">
        <f>IF($A68="","",IFERROR($S68*'Settings'!$B$5,0))</f>
        <v/>
      </c>
      <c r="W68" s="32" t="n"/>
      <c r="X68" s="38" t="n"/>
      <c r="Y68" s="61">
        <f>IF($A68="","",IF(OR($W68="",$W68="None"),0,IFERROR($X68*VLOOKUP($W68,'Settings'!$A$15:$B$114,2,FALSE),0)))</f>
        <v/>
      </c>
      <c r="Z68" s="61">
        <f>IF($A68="","",IFERROR(SUM($U68,$V68,$Y68),0))</f>
        <v/>
      </c>
      <c r="AA68" s="61" t="n"/>
      <c r="AB68" s="61">
        <f>IF($A68="","",IFERROR($T68*'Settings'!$B$4,0))</f>
        <v/>
      </c>
      <c r="AC68" s="61" t="n"/>
      <c r="AD68" s="61">
        <f>IF($A68="","",IFERROR(SUM($AA68,$AB68,$AC68),0))</f>
        <v/>
      </c>
      <c r="AE68" s="61">
        <f>IF($A68="","",IFERROR($Z68-$AD68,0))</f>
        <v/>
      </c>
      <c r="AF68" s="39">
        <f>IF($A68="","",IFERROR($AE68/$Z68,0))</f>
        <v/>
      </c>
      <c r="AG68" s="32" t="n"/>
      <c r="AH68" s="33" t="n"/>
      <c r="AI68" s="40">
        <f>IF($A68="","",IF($C68="Delivered",IFERROR(MAX(0,$AH68-$B68),0),IF($C68="Canceled",0,IFERROR(MAX(0,TODAY()-$B68),0))))</f>
        <v/>
      </c>
      <c r="AJ68" s="34" t="n"/>
    </row>
    <row r="69">
      <c r="A69" s="32" t="n"/>
      <c r="B69" s="33" t="n"/>
      <c r="C69" s="32" t="n"/>
      <c r="D69" s="32" t="n"/>
      <c r="E69" s="34" t="n"/>
      <c r="F69" s="32" t="n"/>
      <c r="G69" s="32" t="n"/>
      <c r="H69" s="32" t="n"/>
      <c r="I69" s="34" t="n"/>
      <c r="J69" s="60" t="n"/>
      <c r="K69" s="60" t="n"/>
      <c r="L69" s="32" t="n"/>
      <c r="M69" s="32" t="n"/>
      <c r="N69" s="32" t="n"/>
      <c r="O69" s="34" t="n"/>
      <c r="P69" s="34" t="n"/>
      <c r="Q69" s="36" t="n"/>
      <c r="R69" s="36" t="n"/>
      <c r="S69" s="36">
        <f>IF($A69="","",IFERROR(SUM($Q69:$R69),0))</f>
        <v/>
      </c>
      <c r="T69" s="36" t="n"/>
      <c r="U69" s="61" t="n"/>
      <c r="V69" s="61">
        <f>IF($A69="","",IFERROR($S69*'Settings'!$B$5,0))</f>
        <v/>
      </c>
      <c r="W69" s="32" t="n"/>
      <c r="X69" s="38" t="n"/>
      <c r="Y69" s="61">
        <f>IF($A69="","",IF(OR($W69="",$W69="None"),0,IFERROR($X69*VLOOKUP($W69,'Settings'!$A$15:$B$114,2,FALSE),0)))</f>
        <v/>
      </c>
      <c r="Z69" s="61">
        <f>IF($A69="","",IFERROR(SUM($U69,$V69,$Y69),0))</f>
        <v/>
      </c>
      <c r="AA69" s="61" t="n"/>
      <c r="AB69" s="61">
        <f>IF($A69="","",IFERROR($T69*'Settings'!$B$4,0))</f>
        <v/>
      </c>
      <c r="AC69" s="61" t="n"/>
      <c r="AD69" s="61">
        <f>IF($A69="","",IFERROR(SUM($AA69,$AB69,$AC69),0))</f>
        <v/>
      </c>
      <c r="AE69" s="61">
        <f>IF($A69="","",IFERROR($Z69-$AD69,0))</f>
        <v/>
      </c>
      <c r="AF69" s="39">
        <f>IF($A69="","",IFERROR($AE69/$Z69,0))</f>
        <v/>
      </c>
      <c r="AG69" s="32" t="n"/>
      <c r="AH69" s="33" t="n"/>
      <c r="AI69" s="40">
        <f>IF($A69="","",IF($C69="Delivered",IFERROR(MAX(0,$AH69-$B69),0),IF($C69="Canceled",0,IFERROR(MAX(0,TODAY()-$B69),0))))</f>
        <v/>
      </c>
      <c r="AJ69" s="34" t="n"/>
    </row>
    <row r="70">
      <c r="A70" s="32" t="n"/>
      <c r="B70" s="33" t="n"/>
      <c r="C70" s="32" t="n"/>
      <c r="D70" s="32" t="n"/>
      <c r="E70" s="34" t="n"/>
      <c r="F70" s="32" t="n"/>
      <c r="G70" s="32" t="n"/>
      <c r="H70" s="32" t="n"/>
      <c r="I70" s="34" t="n"/>
      <c r="J70" s="60" t="n"/>
      <c r="K70" s="60" t="n"/>
      <c r="L70" s="32" t="n"/>
      <c r="M70" s="32" t="n"/>
      <c r="N70" s="32" t="n"/>
      <c r="O70" s="34" t="n"/>
      <c r="P70" s="34" t="n"/>
      <c r="Q70" s="36" t="n"/>
      <c r="R70" s="36" t="n"/>
      <c r="S70" s="36">
        <f>IF($A70="","",IFERROR(SUM($Q70:$R70),0))</f>
        <v/>
      </c>
      <c r="T70" s="36" t="n"/>
      <c r="U70" s="61" t="n"/>
      <c r="V70" s="61">
        <f>IF($A70="","",IFERROR($S70*'Settings'!$B$5,0))</f>
        <v/>
      </c>
      <c r="W70" s="32" t="n"/>
      <c r="X70" s="38" t="n"/>
      <c r="Y70" s="61">
        <f>IF($A70="","",IF(OR($W70="",$W70="None"),0,IFERROR($X70*VLOOKUP($W70,'Settings'!$A$15:$B$114,2,FALSE),0)))</f>
        <v/>
      </c>
      <c r="Z70" s="61">
        <f>IF($A70="","",IFERROR(SUM($U70,$V70,$Y70),0))</f>
        <v/>
      </c>
      <c r="AA70" s="61" t="n"/>
      <c r="AB70" s="61">
        <f>IF($A70="","",IFERROR($T70*'Settings'!$B$4,0))</f>
        <v/>
      </c>
      <c r="AC70" s="61" t="n"/>
      <c r="AD70" s="61">
        <f>IF($A70="","",IFERROR(SUM($AA70,$AB70,$AC70),0))</f>
        <v/>
      </c>
      <c r="AE70" s="61">
        <f>IF($A70="","",IFERROR($Z70-$AD70,0))</f>
        <v/>
      </c>
      <c r="AF70" s="39">
        <f>IF($A70="","",IFERROR($AE70/$Z70,0))</f>
        <v/>
      </c>
      <c r="AG70" s="32" t="n"/>
      <c r="AH70" s="33" t="n"/>
      <c r="AI70" s="40">
        <f>IF($A70="","",IF($C70="Delivered",IFERROR(MAX(0,$AH70-$B70),0),IF($C70="Canceled",0,IFERROR(MAX(0,TODAY()-$B70),0))))</f>
        <v/>
      </c>
      <c r="AJ70" s="34" t="n"/>
    </row>
    <row r="71">
      <c r="A71" s="32" t="n"/>
      <c r="B71" s="33" t="n"/>
      <c r="C71" s="32" t="n"/>
      <c r="D71" s="32" t="n"/>
      <c r="E71" s="34" t="n"/>
      <c r="F71" s="32" t="n"/>
      <c r="G71" s="32" t="n"/>
      <c r="H71" s="32" t="n"/>
      <c r="I71" s="34" t="n"/>
      <c r="J71" s="60" t="n"/>
      <c r="K71" s="60" t="n"/>
      <c r="L71" s="32" t="n"/>
      <c r="M71" s="32" t="n"/>
      <c r="N71" s="32" t="n"/>
      <c r="O71" s="34" t="n"/>
      <c r="P71" s="34" t="n"/>
      <c r="Q71" s="36" t="n"/>
      <c r="R71" s="36" t="n"/>
      <c r="S71" s="36">
        <f>IF($A71="","",IFERROR(SUM($Q71:$R71),0))</f>
        <v/>
      </c>
      <c r="T71" s="36" t="n"/>
      <c r="U71" s="61" t="n"/>
      <c r="V71" s="61">
        <f>IF($A71="","",IFERROR($S71*'Settings'!$B$5,0))</f>
        <v/>
      </c>
      <c r="W71" s="32" t="n"/>
      <c r="X71" s="38" t="n"/>
      <c r="Y71" s="61">
        <f>IF($A71="","",IF(OR($W71="",$W71="None"),0,IFERROR($X71*VLOOKUP($W71,'Settings'!$A$15:$B$114,2,FALSE),0)))</f>
        <v/>
      </c>
      <c r="Z71" s="61">
        <f>IF($A71="","",IFERROR(SUM($U71,$V71,$Y71),0))</f>
        <v/>
      </c>
      <c r="AA71" s="61" t="n"/>
      <c r="AB71" s="61">
        <f>IF($A71="","",IFERROR($T71*'Settings'!$B$4,0))</f>
        <v/>
      </c>
      <c r="AC71" s="61" t="n"/>
      <c r="AD71" s="61">
        <f>IF($A71="","",IFERROR(SUM($AA71,$AB71,$AC71),0))</f>
        <v/>
      </c>
      <c r="AE71" s="61">
        <f>IF($A71="","",IFERROR($Z71-$AD71,0))</f>
        <v/>
      </c>
      <c r="AF71" s="39">
        <f>IF($A71="","",IFERROR($AE71/$Z71,0))</f>
        <v/>
      </c>
      <c r="AG71" s="32" t="n"/>
      <c r="AH71" s="33" t="n"/>
      <c r="AI71" s="40">
        <f>IF($A71="","",IF($C71="Delivered",IFERROR(MAX(0,$AH71-$B71),0),IF($C71="Canceled",0,IFERROR(MAX(0,TODAY()-$B71),0))))</f>
        <v/>
      </c>
      <c r="AJ71" s="34" t="n"/>
    </row>
    <row r="72">
      <c r="A72" s="32" t="n"/>
      <c r="B72" s="33" t="n"/>
      <c r="C72" s="32" t="n"/>
      <c r="D72" s="32" t="n"/>
      <c r="E72" s="34" t="n"/>
      <c r="F72" s="32" t="n"/>
      <c r="G72" s="32" t="n"/>
      <c r="H72" s="32" t="n"/>
      <c r="I72" s="34" t="n"/>
      <c r="J72" s="60" t="n"/>
      <c r="K72" s="60" t="n"/>
      <c r="L72" s="32" t="n"/>
      <c r="M72" s="32" t="n"/>
      <c r="N72" s="32" t="n"/>
      <c r="O72" s="34" t="n"/>
      <c r="P72" s="34" t="n"/>
      <c r="Q72" s="36" t="n"/>
      <c r="R72" s="36" t="n"/>
      <c r="S72" s="36">
        <f>IF($A72="","",IFERROR(SUM($Q72:$R72),0))</f>
        <v/>
      </c>
      <c r="T72" s="36" t="n"/>
      <c r="U72" s="61" t="n"/>
      <c r="V72" s="61">
        <f>IF($A72="","",IFERROR($S72*'Settings'!$B$5,0))</f>
        <v/>
      </c>
      <c r="W72" s="32" t="n"/>
      <c r="X72" s="38" t="n"/>
      <c r="Y72" s="61">
        <f>IF($A72="","",IF(OR($W72="",$W72="None"),0,IFERROR($X72*VLOOKUP($W72,'Settings'!$A$15:$B$114,2,FALSE),0)))</f>
        <v/>
      </c>
      <c r="Z72" s="61">
        <f>IF($A72="","",IFERROR(SUM($U72,$V72,$Y72),0))</f>
        <v/>
      </c>
      <c r="AA72" s="61" t="n"/>
      <c r="AB72" s="61">
        <f>IF($A72="","",IFERROR($T72*'Settings'!$B$4,0))</f>
        <v/>
      </c>
      <c r="AC72" s="61" t="n"/>
      <c r="AD72" s="61">
        <f>IF($A72="","",IFERROR(SUM($AA72,$AB72,$AC72),0))</f>
        <v/>
      </c>
      <c r="AE72" s="61">
        <f>IF($A72="","",IFERROR($Z72-$AD72,0))</f>
        <v/>
      </c>
      <c r="AF72" s="39">
        <f>IF($A72="","",IFERROR($AE72/$Z72,0))</f>
        <v/>
      </c>
      <c r="AG72" s="32" t="n"/>
      <c r="AH72" s="33" t="n"/>
      <c r="AI72" s="40">
        <f>IF($A72="","",IF($C72="Delivered",IFERROR(MAX(0,$AH72-$B72),0),IF($C72="Canceled",0,IFERROR(MAX(0,TODAY()-$B72),0))))</f>
        <v/>
      </c>
      <c r="AJ72" s="34" t="n"/>
    </row>
    <row r="73">
      <c r="A73" s="32" t="n"/>
      <c r="B73" s="33" t="n"/>
      <c r="C73" s="32" t="n"/>
      <c r="D73" s="32" t="n"/>
      <c r="E73" s="34" t="n"/>
      <c r="F73" s="32" t="n"/>
      <c r="G73" s="32" t="n"/>
      <c r="H73" s="32" t="n"/>
      <c r="I73" s="34" t="n"/>
      <c r="J73" s="60" t="n"/>
      <c r="K73" s="60" t="n"/>
      <c r="L73" s="32" t="n"/>
      <c r="M73" s="32" t="n"/>
      <c r="N73" s="32" t="n"/>
      <c r="O73" s="34" t="n"/>
      <c r="P73" s="34" t="n"/>
      <c r="Q73" s="36" t="n"/>
      <c r="R73" s="36" t="n"/>
      <c r="S73" s="36">
        <f>IF($A73="","",IFERROR(SUM($Q73:$R73),0))</f>
        <v/>
      </c>
      <c r="T73" s="36" t="n"/>
      <c r="U73" s="61" t="n"/>
      <c r="V73" s="61">
        <f>IF($A73="","",IFERROR($S73*'Settings'!$B$5,0))</f>
        <v/>
      </c>
      <c r="W73" s="32" t="n"/>
      <c r="X73" s="38" t="n"/>
      <c r="Y73" s="61">
        <f>IF($A73="","",IF(OR($W73="",$W73="None"),0,IFERROR($X73*VLOOKUP($W73,'Settings'!$A$15:$B$114,2,FALSE),0)))</f>
        <v/>
      </c>
      <c r="Z73" s="61">
        <f>IF($A73="","",IFERROR(SUM($U73,$V73,$Y73),0))</f>
        <v/>
      </c>
      <c r="AA73" s="61" t="n"/>
      <c r="AB73" s="61">
        <f>IF($A73="","",IFERROR($T73*'Settings'!$B$4,0))</f>
        <v/>
      </c>
      <c r="AC73" s="61" t="n"/>
      <c r="AD73" s="61">
        <f>IF($A73="","",IFERROR(SUM($AA73,$AB73,$AC73),0))</f>
        <v/>
      </c>
      <c r="AE73" s="61">
        <f>IF($A73="","",IFERROR($Z73-$AD73,0))</f>
        <v/>
      </c>
      <c r="AF73" s="39">
        <f>IF($A73="","",IFERROR($AE73/$Z73,0))</f>
        <v/>
      </c>
      <c r="AG73" s="32" t="n"/>
      <c r="AH73" s="33" t="n"/>
      <c r="AI73" s="40">
        <f>IF($A73="","",IF($C73="Delivered",IFERROR(MAX(0,$AH73-$B73),0),IF($C73="Canceled",0,IFERROR(MAX(0,TODAY()-$B73),0))))</f>
        <v/>
      </c>
      <c r="AJ73" s="34" t="n"/>
    </row>
    <row r="74">
      <c r="A74" s="32" t="n"/>
      <c r="B74" s="33" t="n"/>
      <c r="C74" s="32" t="n"/>
      <c r="D74" s="32" t="n"/>
      <c r="E74" s="34" t="n"/>
      <c r="F74" s="32" t="n"/>
      <c r="G74" s="32" t="n"/>
      <c r="H74" s="32" t="n"/>
      <c r="I74" s="34" t="n"/>
      <c r="J74" s="60" t="n"/>
      <c r="K74" s="60" t="n"/>
      <c r="L74" s="32" t="n"/>
      <c r="M74" s="32" t="n"/>
      <c r="N74" s="32" t="n"/>
      <c r="O74" s="34" t="n"/>
      <c r="P74" s="34" t="n"/>
      <c r="Q74" s="36" t="n"/>
      <c r="R74" s="36" t="n"/>
      <c r="S74" s="36">
        <f>IF($A74="","",IFERROR(SUM($Q74:$R74),0))</f>
        <v/>
      </c>
      <c r="T74" s="36" t="n"/>
      <c r="U74" s="61" t="n"/>
      <c r="V74" s="61">
        <f>IF($A74="","",IFERROR($S74*'Settings'!$B$5,0))</f>
        <v/>
      </c>
      <c r="W74" s="32" t="n"/>
      <c r="X74" s="38" t="n"/>
      <c r="Y74" s="61">
        <f>IF($A74="","",IF(OR($W74="",$W74="None"),0,IFERROR($X74*VLOOKUP($W74,'Settings'!$A$15:$B$114,2,FALSE),0)))</f>
        <v/>
      </c>
      <c r="Z74" s="61">
        <f>IF($A74="","",IFERROR(SUM($U74,$V74,$Y74),0))</f>
        <v/>
      </c>
      <c r="AA74" s="61" t="n"/>
      <c r="AB74" s="61">
        <f>IF($A74="","",IFERROR($T74*'Settings'!$B$4,0))</f>
        <v/>
      </c>
      <c r="AC74" s="61" t="n"/>
      <c r="AD74" s="61">
        <f>IF($A74="","",IFERROR(SUM($AA74,$AB74,$AC74),0))</f>
        <v/>
      </c>
      <c r="AE74" s="61">
        <f>IF($A74="","",IFERROR($Z74-$AD74,0))</f>
        <v/>
      </c>
      <c r="AF74" s="39">
        <f>IF($A74="","",IFERROR($AE74/$Z74,0))</f>
        <v/>
      </c>
      <c r="AG74" s="32" t="n"/>
      <c r="AH74" s="33" t="n"/>
      <c r="AI74" s="40">
        <f>IF($A74="","",IF($C74="Delivered",IFERROR(MAX(0,$AH74-$B74),0),IF($C74="Canceled",0,IFERROR(MAX(0,TODAY()-$B74),0))))</f>
        <v/>
      </c>
      <c r="AJ74" s="34" t="n"/>
    </row>
    <row r="75">
      <c r="A75" s="32" t="n"/>
      <c r="B75" s="33" t="n"/>
      <c r="C75" s="32" t="n"/>
      <c r="D75" s="32" t="n"/>
      <c r="E75" s="34" t="n"/>
      <c r="F75" s="32" t="n"/>
      <c r="G75" s="32" t="n"/>
      <c r="H75" s="32" t="n"/>
      <c r="I75" s="34" t="n"/>
      <c r="J75" s="60" t="n"/>
      <c r="K75" s="60" t="n"/>
      <c r="L75" s="32" t="n"/>
      <c r="M75" s="32" t="n"/>
      <c r="N75" s="32" t="n"/>
      <c r="O75" s="34" t="n"/>
      <c r="P75" s="34" t="n"/>
      <c r="Q75" s="36" t="n"/>
      <c r="R75" s="36" t="n"/>
      <c r="S75" s="36">
        <f>IF($A75="","",IFERROR(SUM($Q75:$R75),0))</f>
        <v/>
      </c>
      <c r="T75" s="36" t="n"/>
      <c r="U75" s="61" t="n"/>
      <c r="V75" s="61">
        <f>IF($A75="","",IFERROR($S75*'Settings'!$B$5,0))</f>
        <v/>
      </c>
      <c r="W75" s="32" t="n"/>
      <c r="X75" s="38" t="n"/>
      <c r="Y75" s="61">
        <f>IF($A75="","",IF(OR($W75="",$W75="None"),0,IFERROR($X75*VLOOKUP($W75,'Settings'!$A$15:$B$114,2,FALSE),0)))</f>
        <v/>
      </c>
      <c r="Z75" s="61">
        <f>IF($A75="","",IFERROR(SUM($U75,$V75,$Y75),0))</f>
        <v/>
      </c>
      <c r="AA75" s="61" t="n"/>
      <c r="AB75" s="61">
        <f>IF($A75="","",IFERROR($T75*'Settings'!$B$4,0))</f>
        <v/>
      </c>
      <c r="AC75" s="61" t="n"/>
      <c r="AD75" s="61">
        <f>IF($A75="","",IFERROR(SUM($AA75,$AB75,$AC75),0))</f>
        <v/>
      </c>
      <c r="AE75" s="61">
        <f>IF($A75="","",IFERROR($Z75-$AD75,0))</f>
        <v/>
      </c>
      <c r="AF75" s="39">
        <f>IF($A75="","",IFERROR($AE75/$Z75,0))</f>
        <v/>
      </c>
      <c r="AG75" s="32" t="n"/>
      <c r="AH75" s="33" t="n"/>
      <c r="AI75" s="40">
        <f>IF($A75="","",IF($C75="Delivered",IFERROR(MAX(0,$AH75-$B75),0),IF($C75="Canceled",0,IFERROR(MAX(0,TODAY()-$B75),0))))</f>
        <v/>
      </c>
      <c r="AJ75" s="34" t="n"/>
    </row>
    <row r="76">
      <c r="A76" s="32" t="n"/>
      <c r="B76" s="33" t="n"/>
      <c r="C76" s="32" t="n"/>
      <c r="D76" s="32" t="n"/>
      <c r="E76" s="34" t="n"/>
      <c r="F76" s="32" t="n"/>
      <c r="G76" s="32" t="n"/>
      <c r="H76" s="32" t="n"/>
      <c r="I76" s="34" t="n"/>
      <c r="J76" s="60" t="n"/>
      <c r="K76" s="60" t="n"/>
      <c r="L76" s="32" t="n"/>
      <c r="M76" s="32" t="n"/>
      <c r="N76" s="32" t="n"/>
      <c r="O76" s="34" t="n"/>
      <c r="P76" s="34" t="n"/>
      <c r="Q76" s="36" t="n"/>
      <c r="R76" s="36" t="n"/>
      <c r="S76" s="36">
        <f>IF($A76="","",IFERROR(SUM($Q76:$R76),0))</f>
        <v/>
      </c>
      <c r="T76" s="36" t="n"/>
      <c r="U76" s="61" t="n"/>
      <c r="V76" s="61">
        <f>IF($A76="","",IFERROR($S76*'Settings'!$B$5,0))</f>
        <v/>
      </c>
      <c r="W76" s="32" t="n"/>
      <c r="X76" s="38" t="n"/>
      <c r="Y76" s="61">
        <f>IF($A76="","",IF(OR($W76="",$W76="None"),0,IFERROR($X76*VLOOKUP($W76,'Settings'!$A$15:$B$114,2,FALSE),0)))</f>
        <v/>
      </c>
      <c r="Z76" s="61">
        <f>IF($A76="","",IFERROR(SUM($U76,$V76,$Y76),0))</f>
        <v/>
      </c>
      <c r="AA76" s="61" t="n"/>
      <c r="AB76" s="61">
        <f>IF($A76="","",IFERROR($T76*'Settings'!$B$4,0))</f>
        <v/>
      </c>
      <c r="AC76" s="61" t="n"/>
      <c r="AD76" s="61">
        <f>IF($A76="","",IFERROR(SUM($AA76,$AB76,$AC76),0))</f>
        <v/>
      </c>
      <c r="AE76" s="61">
        <f>IF($A76="","",IFERROR($Z76-$AD76,0))</f>
        <v/>
      </c>
      <c r="AF76" s="39">
        <f>IF($A76="","",IFERROR($AE76/$Z76,0))</f>
        <v/>
      </c>
      <c r="AG76" s="32" t="n"/>
      <c r="AH76" s="33" t="n"/>
      <c r="AI76" s="40">
        <f>IF($A76="","",IF($C76="Delivered",IFERROR(MAX(0,$AH76-$B76),0),IF($C76="Canceled",0,IFERROR(MAX(0,TODAY()-$B76),0))))</f>
        <v/>
      </c>
      <c r="AJ76" s="34" t="n"/>
    </row>
    <row r="77">
      <c r="A77" s="32" t="n"/>
      <c r="B77" s="33" t="n"/>
      <c r="C77" s="32" t="n"/>
      <c r="D77" s="32" t="n"/>
      <c r="E77" s="34" t="n"/>
      <c r="F77" s="32" t="n"/>
      <c r="G77" s="32" t="n"/>
      <c r="H77" s="32" t="n"/>
      <c r="I77" s="34" t="n"/>
      <c r="J77" s="60" t="n"/>
      <c r="K77" s="60" t="n"/>
      <c r="L77" s="32" t="n"/>
      <c r="M77" s="32" t="n"/>
      <c r="N77" s="32" t="n"/>
      <c r="O77" s="34" t="n"/>
      <c r="P77" s="34" t="n"/>
      <c r="Q77" s="36" t="n"/>
      <c r="R77" s="36" t="n"/>
      <c r="S77" s="36">
        <f>IF($A77="","",IFERROR(SUM($Q77:$R77),0))</f>
        <v/>
      </c>
      <c r="T77" s="36" t="n"/>
      <c r="U77" s="61" t="n"/>
      <c r="V77" s="61">
        <f>IF($A77="","",IFERROR($S77*'Settings'!$B$5,0))</f>
        <v/>
      </c>
      <c r="W77" s="32" t="n"/>
      <c r="X77" s="38" t="n"/>
      <c r="Y77" s="61">
        <f>IF($A77="","",IF(OR($W77="",$W77="None"),0,IFERROR($X77*VLOOKUP($W77,'Settings'!$A$15:$B$114,2,FALSE),0)))</f>
        <v/>
      </c>
      <c r="Z77" s="61">
        <f>IF($A77="","",IFERROR(SUM($U77,$V77,$Y77),0))</f>
        <v/>
      </c>
      <c r="AA77" s="61" t="n"/>
      <c r="AB77" s="61">
        <f>IF($A77="","",IFERROR($T77*'Settings'!$B$4,0))</f>
        <v/>
      </c>
      <c r="AC77" s="61" t="n"/>
      <c r="AD77" s="61">
        <f>IF($A77="","",IFERROR(SUM($AA77,$AB77,$AC77),0))</f>
        <v/>
      </c>
      <c r="AE77" s="61">
        <f>IF($A77="","",IFERROR($Z77-$AD77,0))</f>
        <v/>
      </c>
      <c r="AF77" s="39">
        <f>IF($A77="","",IFERROR($AE77/$Z77,0))</f>
        <v/>
      </c>
      <c r="AG77" s="32" t="n"/>
      <c r="AH77" s="33" t="n"/>
      <c r="AI77" s="40">
        <f>IF($A77="","",IF($C77="Delivered",IFERROR(MAX(0,$AH77-$B77),0),IF($C77="Canceled",0,IFERROR(MAX(0,TODAY()-$B77),0))))</f>
        <v/>
      </c>
      <c r="AJ77" s="34" t="n"/>
    </row>
    <row r="78">
      <c r="A78" s="32" t="n"/>
      <c r="B78" s="33" t="n"/>
      <c r="C78" s="32" t="n"/>
      <c r="D78" s="32" t="n"/>
      <c r="E78" s="34" t="n"/>
      <c r="F78" s="32" t="n"/>
      <c r="G78" s="32" t="n"/>
      <c r="H78" s="32" t="n"/>
      <c r="I78" s="34" t="n"/>
      <c r="J78" s="60" t="n"/>
      <c r="K78" s="60" t="n"/>
      <c r="L78" s="32" t="n"/>
      <c r="M78" s="32" t="n"/>
      <c r="N78" s="32" t="n"/>
      <c r="O78" s="34" t="n"/>
      <c r="P78" s="34" t="n"/>
      <c r="Q78" s="36" t="n"/>
      <c r="R78" s="36" t="n"/>
      <c r="S78" s="36">
        <f>IF($A78="","",IFERROR(SUM($Q78:$R78),0))</f>
        <v/>
      </c>
      <c r="T78" s="36" t="n"/>
      <c r="U78" s="61" t="n"/>
      <c r="V78" s="61">
        <f>IF($A78="","",IFERROR($S78*'Settings'!$B$5,0))</f>
        <v/>
      </c>
      <c r="W78" s="32" t="n"/>
      <c r="X78" s="38" t="n"/>
      <c r="Y78" s="61">
        <f>IF($A78="","",IF(OR($W78="",$W78="None"),0,IFERROR($X78*VLOOKUP($W78,'Settings'!$A$15:$B$114,2,FALSE),0)))</f>
        <v/>
      </c>
      <c r="Z78" s="61">
        <f>IF($A78="","",IFERROR(SUM($U78,$V78,$Y78),0))</f>
        <v/>
      </c>
      <c r="AA78" s="61" t="n"/>
      <c r="AB78" s="61">
        <f>IF($A78="","",IFERROR($T78*'Settings'!$B$4,0))</f>
        <v/>
      </c>
      <c r="AC78" s="61" t="n"/>
      <c r="AD78" s="61">
        <f>IF($A78="","",IFERROR(SUM($AA78,$AB78,$AC78),0))</f>
        <v/>
      </c>
      <c r="AE78" s="61">
        <f>IF($A78="","",IFERROR($Z78-$AD78,0))</f>
        <v/>
      </c>
      <c r="AF78" s="39">
        <f>IF($A78="","",IFERROR($AE78/$Z78,0))</f>
        <v/>
      </c>
      <c r="AG78" s="32" t="n"/>
      <c r="AH78" s="33" t="n"/>
      <c r="AI78" s="40">
        <f>IF($A78="","",IF($C78="Delivered",IFERROR(MAX(0,$AH78-$B78),0),IF($C78="Canceled",0,IFERROR(MAX(0,TODAY()-$B78),0))))</f>
        <v/>
      </c>
      <c r="AJ78" s="34" t="n"/>
    </row>
    <row r="79">
      <c r="A79" s="32" t="n"/>
      <c r="B79" s="33" t="n"/>
      <c r="C79" s="32" t="n"/>
      <c r="D79" s="32" t="n"/>
      <c r="E79" s="34" t="n"/>
      <c r="F79" s="32" t="n"/>
      <c r="G79" s="32" t="n"/>
      <c r="H79" s="32" t="n"/>
      <c r="I79" s="34" t="n"/>
      <c r="J79" s="60" t="n"/>
      <c r="K79" s="60" t="n"/>
      <c r="L79" s="32" t="n"/>
      <c r="M79" s="32" t="n"/>
      <c r="N79" s="32" t="n"/>
      <c r="O79" s="34" t="n"/>
      <c r="P79" s="34" t="n"/>
      <c r="Q79" s="36" t="n"/>
      <c r="R79" s="36" t="n"/>
      <c r="S79" s="36">
        <f>IF($A79="","",IFERROR(SUM($Q79:$R79),0))</f>
        <v/>
      </c>
      <c r="T79" s="36" t="n"/>
      <c r="U79" s="61" t="n"/>
      <c r="V79" s="61">
        <f>IF($A79="","",IFERROR($S79*'Settings'!$B$5,0))</f>
        <v/>
      </c>
      <c r="W79" s="32" t="n"/>
      <c r="X79" s="38" t="n"/>
      <c r="Y79" s="61">
        <f>IF($A79="","",IF(OR($W79="",$W79="None"),0,IFERROR($X79*VLOOKUP($W79,'Settings'!$A$15:$B$114,2,FALSE),0)))</f>
        <v/>
      </c>
      <c r="Z79" s="61">
        <f>IF($A79="","",IFERROR(SUM($U79,$V79,$Y79),0))</f>
        <v/>
      </c>
      <c r="AA79" s="61" t="n"/>
      <c r="AB79" s="61">
        <f>IF($A79="","",IFERROR($T79*'Settings'!$B$4,0))</f>
        <v/>
      </c>
      <c r="AC79" s="61" t="n"/>
      <c r="AD79" s="61">
        <f>IF($A79="","",IFERROR(SUM($AA79,$AB79,$AC79),0))</f>
        <v/>
      </c>
      <c r="AE79" s="61">
        <f>IF($A79="","",IFERROR($Z79-$AD79,0))</f>
        <v/>
      </c>
      <c r="AF79" s="39">
        <f>IF($A79="","",IFERROR($AE79/$Z79,0))</f>
        <v/>
      </c>
      <c r="AG79" s="32" t="n"/>
      <c r="AH79" s="33" t="n"/>
      <c r="AI79" s="40">
        <f>IF($A79="","",IF($C79="Delivered",IFERROR(MAX(0,$AH79-$B79),0),IF($C79="Canceled",0,IFERROR(MAX(0,TODAY()-$B79),0))))</f>
        <v/>
      </c>
      <c r="AJ79" s="34" t="n"/>
    </row>
    <row r="80">
      <c r="A80" s="32" t="n"/>
      <c r="B80" s="33" t="n"/>
      <c r="C80" s="32" t="n"/>
      <c r="D80" s="32" t="n"/>
      <c r="E80" s="34" t="n"/>
      <c r="F80" s="32" t="n"/>
      <c r="G80" s="32" t="n"/>
      <c r="H80" s="32" t="n"/>
      <c r="I80" s="34" t="n"/>
      <c r="J80" s="60" t="n"/>
      <c r="K80" s="60" t="n"/>
      <c r="L80" s="32" t="n"/>
      <c r="M80" s="32" t="n"/>
      <c r="N80" s="32" t="n"/>
      <c r="O80" s="34" t="n"/>
      <c r="P80" s="34" t="n"/>
      <c r="Q80" s="36" t="n"/>
      <c r="R80" s="36" t="n"/>
      <c r="S80" s="36">
        <f>IF($A80="","",IFERROR(SUM($Q80:$R80),0))</f>
        <v/>
      </c>
      <c r="T80" s="36" t="n"/>
      <c r="U80" s="61" t="n"/>
      <c r="V80" s="61">
        <f>IF($A80="","",IFERROR($S80*'Settings'!$B$5,0))</f>
        <v/>
      </c>
      <c r="W80" s="32" t="n"/>
      <c r="X80" s="38" t="n"/>
      <c r="Y80" s="61">
        <f>IF($A80="","",IF(OR($W80="",$W80="None"),0,IFERROR($X80*VLOOKUP($W80,'Settings'!$A$15:$B$114,2,FALSE),0)))</f>
        <v/>
      </c>
      <c r="Z80" s="61">
        <f>IF($A80="","",IFERROR(SUM($U80,$V80,$Y80),0))</f>
        <v/>
      </c>
      <c r="AA80" s="61" t="n"/>
      <c r="AB80" s="61">
        <f>IF($A80="","",IFERROR($T80*'Settings'!$B$4,0))</f>
        <v/>
      </c>
      <c r="AC80" s="61" t="n"/>
      <c r="AD80" s="61">
        <f>IF($A80="","",IFERROR(SUM($AA80,$AB80,$AC80),0))</f>
        <v/>
      </c>
      <c r="AE80" s="61">
        <f>IF($A80="","",IFERROR($Z80-$AD80,0))</f>
        <v/>
      </c>
      <c r="AF80" s="39">
        <f>IF($A80="","",IFERROR($AE80/$Z80,0))</f>
        <v/>
      </c>
      <c r="AG80" s="32" t="n"/>
      <c r="AH80" s="33" t="n"/>
      <c r="AI80" s="40">
        <f>IF($A80="","",IF($C80="Delivered",IFERROR(MAX(0,$AH80-$B80),0),IF($C80="Canceled",0,IFERROR(MAX(0,TODAY()-$B80),0))))</f>
        <v/>
      </c>
      <c r="AJ80" s="34" t="n"/>
    </row>
    <row r="81">
      <c r="A81" s="32" t="n"/>
      <c r="B81" s="33" t="n"/>
      <c r="C81" s="32" t="n"/>
      <c r="D81" s="32" t="n"/>
      <c r="E81" s="34" t="n"/>
      <c r="F81" s="32" t="n"/>
      <c r="G81" s="32" t="n"/>
      <c r="H81" s="32" t="n"/>
      <c r="I81" s="34" t="n"/>
      <c r="J81" s="60" t="n"/>
      <c r="K81" s="60" t="n"/>
      <c r="L81" s="32" t="n"/>
      <c r="M81" s="32" t="n"/>
      <c r="N81" s="32" t="n"/>
      <c r="O81" s="34" t="n"/>
      <c r="P81" s="34" t="n"/>
      <c r="Q81" s="36" t="n"/>
      <c r="R81" s="36" t="n"/>
      <c r="S81" s="36">
        <f>IF($A81="","",IFERROR(SUM($Q81:$R81),0))</f>
        <v/>
      </c>
      <c r="T81" s="36" t="n"/>
      <c r="U81" s="61" t="n"/>
      <c r="V81" s="61">
        <f>IF($A81="","",IFERROR($S81*'Settings'!$B$5,0))</f>
        <v/>
      </c>
      <c r="W81" s="32" t="n"/>
      <c r="X81" s="38" t="n"/>
      <c r="Y81" s="61">
        <f>IF($A81="","",IF(OR($W81="",$W81="None"),0,IFERROR($X81*VLOOKUP($W81,'Settings'!$A$15:$B$114,2,FALSE),0)))</f>
        <v/>
      </c>
      <c r="Z81" s="61">
        <f>IF($A81="","",IFERROR(SUM($U81,$V81,$Y81),0))</f>
        <v/>
      </c>
      <c r="AA81" s="61" t="n"/>
      <c r="AB81" s="61">
        <f>IF($A81="","",IFERROR($T81*'Settings'!$B$4,0))</f>
        <v/>
      </c>
      <c r="AC81" s="61" t="n"/>
      <c r="AD81" s="61">
        <f>IF($A81="","",IFERROR(SUM($AA81,$AB81,$AC81),0))</f>
        <v/>
      </c>
      <c r="AE81" s="61">
        <f>IF($A81="","",IFERROR($Z81-$AD81,0))</f>
        <v/>
      </c>
      <c r="AF81" s="39">
        <f>IF($A81="","",IFERROR($AE81/$Z81,0))</f>
        <v/>
      </c>
      <c r="AG81" s="32" t="n"/>
      <c r="AH81" s="33" t="n"/>
      <c r="AI81" s="40">
        <f>IF($A81="","",IF($C81="Delivered",IFERROR(MAX(0,$AH81-$B81),0),IF($C81="Canceled",0,IFERROR(MAX(0,TODAY()-$B81),0))))</f>
        <v/>
      </c>
      <c r="AJ81" s="34" t="n"/>
    </row>
    <row r="82">
      <c r="A82" s="32" t="n"/>
      <c r="B82" s="33" t="n"/>
      <c r="C82" s="32" t="n"/>
      <c r="D82" s="32" t="n"/>
      <c r="E82" s="34" t="n"/>
      <c r="F82" s="32" t="n"/>
      <c r="G82" s="32" t="n"/>
      <c r="H82" s="32" t="n"/>
      <c r="I82" s="34" t="n"/>
      <c r="J82" s="60" t="n"/>
      <c r="K82" s="60" t="n"/>
      <c r="L82" s="32" t="n"/>
      <c r="M82" s="32" t="n"/>
      <c r="N82" s="32" t="n"/>
      <c r="O82" s="34" t="n"/>
      <c r="P82" s="34" t="n"/>
      <c r="Q82" s="36" t="n"/>
      <c r="R82" s="36" t="n"/>
      <c r="S82" s="36">
        <f>IF($A82="","",IFERROR(SUM($Q82:$R82),0))</f>
        <v/>
      </c>
      <c r="T82" s="36" t="n"/>
      <c r="U82" s="61" t="n"/>
      <c r="V82" s="61">
        <f>IF($A82="","",IFERROR($S82*'Settings'!$B$5,0))</f>
        <v/>
      </c>
      <c r="W82" s="32" t="n"/>
      <c r="X82" s="38" t="n"/>
      <c r="Y82" s="61">
        <f>IF($A82="","",IF(OR($W82="",$W82="None"),0,IFERROR($X82*VLOOKUP($W82,'Settings'!$A$15:$B$114,2,FALSE),0)))</f>
        <v/>
      </c>
      <c r="Z82" s="61">
        <f>IF($A82="","",IFERROR(SUM($U82,$V82,$Y82),0))</f>
        <v/>
      </c>
      <c r="AA82" s="61" t="n"/>
      <c r="AB82" s="61">
        <f>IF($A82="","",IFERROR($T82*'Settings'!$B$4,0))</f>
        <v/>
      </c>
      <c r="AC82" s="61" t="n"/>
      <c r="AD82" s="61">
        <f>IF($A82="","",IFERROR(SUM($AA82,$AB82,$AC82),0))</f>
        <v/>
      </c>
      <c r="AE82" s="61">
        <f>IF($A82="","",IFERROR($Z82-$AD82,0))</f>
        <v/>
      </c>
      <c r="AF82" s="39">
        <f>IF($A82="","",IFERROR($AE82/$Z82,0))</f>
        <v/>
      </c>
      <c r="AG82" s="32" t="n"/>
      <c r="AH82" s="33" t="n"/>
      <c r="AI82" s="40">
        <f>IF($A82="","",IF($C82="Delivered",IFERROR(MAX(0,$AH82-$B82),0),IF($C82="Canceled",0,IFERROR(MAX(0,TODAY()-$B82),0))))</f>
        <v/>
      </c>
      <c r="AJ82" s="34" t="n"/>
    </row>
    <row r="83">
      <c r="A83" s="32" t="n"/>
      <c r="B83" s="33" t="n"/>
      <c r="C83" s="32" t="n"/>
      <c r="D83" s="32" t="n"/>
      <c r="E83" s="34" t="n"/>
      <c r="F83" s="32" t="n"/>
      <c r="G83" s="32" t="n"/>
      <c r="H83" s="32" t="n"/>
      <c r="I83" s="34" t="n"/>
      <c r="J83" s="60" t="n"/>
      <c r="K83" s="60" t="n"/>
      <c r="L83" s="32" t="n"/>
      <c r="M83" s="32" t="n"/>
      <c r="N83" s="32" t="n"/>
      <c r="O83" s="34" t="n"/>
      <c r="P83" s="34" t="n"/>
      <c r="Q83" s="36" t="n"/>
      <c r="R83" s="36" t="n"/>
      <c r="S83" s="36">
        <f>IF($A83="","",IFERROR(SUM($Q83:$R83),0))</f>
        <v/>
      </c>
      <c r="T83" s="36" t="n"/>
      <c r="U83" s="61" t="n"/>
      <c r="V83" s="61">
        <f>IF($A83="","",IFERROR($S83*'Settings'!$B$5,0))</f>
        <v/>
      </c>
      <c r="W83" s="32" t="n"/>
      <c r="X83" s="38" t="n"/>
      <c r="Y83" s="61">
        <f>IF($A83="","",IF(OR($W83="",$W83="None"),0,IFERROR($X83*VLOOKUP($W83,'Settings'!$A$15:$B$114,2,FALSE),0)))</f>
        <v/>
      </c>
      <c r="Z83" s="61">
        <f>IF($A83="","",IFERROR(SUM($U83,$V83,$Y83),0))</f>
        <v/>
      </c>
      <c r="AA83" s="61" t="n"/>
      <c r="AB83" s="61">
        <f>IF($A83="","",IFERROR($T83*'Settings'!$B$4,0))</f>
        <v/>
      </c>
      <c r="AC83" s="61" t="n"/>
      <c r="AD83" s="61">
        <f>IF($A83="","",IFERROR(SUM($AA83,$AB83,$AC83),0))</f>
        <v/>
      </c>
      <c r="AE83" s="61">
        <f>IF($A83="","",IFERROR($Z83-$AD83,0))</f>
        <v/>
      </c>
      <c r="AF83" s="39">
        <f>IF($A83="","",IFERROR($AE83/$Z83,0))</f>
        <v/>
      </c>
      <c r="AG83" s="32" t="n"/>
      <c r="AH83" s="33" t="n"/>
      <c r="AI83" s="40">
        <f>IF($A83="","",IF($C83="Delivered",IFERROR(MAX(0,$AH83-$B83),0),IF($C83="Canceled",0,IFERROR(MAX(0,TODAY()-$B83),0))))</f>
        <v/>
      </c>
      <c r="AJ83" s="34" t="n"/>
    </row>
    <row r="84">
      <c r="A84" s="32" t="n"/>
      <c r="B84" s="33" t="n"/>
      <c r="C84" s="32" t="n"/>
      <c r="D84" s="32" t="n"/>
      <c r="E84" s="34" t="n"/>
      <c r="F84" s="32" t="n"/>
      <c r="G84" s="32" t="n"/>
      <c r="H84" s="32" t="n"/>
      <c r="I84" s="34" t="n"/>
      <c r="J84" s="60" t="n"/>
      <c r="K84" s="60" t="n"/>
      <c r="L84" s="32" t="n"/>
      <c r="M84" s="32" t="n"/>
      <c r="N84" s="32" t="n"/>
      <c r="O84" s="34" t="n"/>
      <c r="P84" s="34" t="n"/>
      <c r="Q84" s="36" t="n"/>
      <c r="R84" s="36" t="n"/>
      <c r="S84" s="36">
        <f>IF($A84="","",IFERROR(SUM($Q84:$R84),0))</f>
        <v/>
      </c>
      <c r="T84" s="36" t="n"/>
      <c r="U84" s="61" t="n"/>
      <c r="V84" s="61">
        <f>IF($A84="","",IFERROR($S84*'Settings'!$B$5,0))</f>
        <v/>
      </c>
      <c r="W84" s="32" t="n"/>
      <c r="X84" s="38" t="n"/>
      <c r="Y84" s="61">
        <f>IF($A84="","",IF(OR($W84="",$W84="None"),0,IFERROR($X84*VLOOKUP($W84,'Settings'!$A$15:$B$114,2,FALSE),0)))</f>
        <v/>
      </c>
      <c r="Z84" s="61">
        <f>IF($A84="","",IFERROR(SUM($U84,$V84,$Y84),0))</f>
        <v/>
      </c>
      <c r="AA84" s="61" t="n"/>
      <c r="AB84" s="61">
        <f>IF($A84="","",IFERROR($T84*'Settings'!$B$4,0))</f>
        <v/>
      </c>
      <c r="AC84" s="61" t="n"/>
      <c r="AD84" s="61">
        <f>IF($A84="","",IFERROR(SUM($AA84,$AB84,$AC84),0))</f>
        <v/>
      </c>
      <c r="AE84" s="61">
        <f>IF($A84="","",IFERROR($Z84-$AD84,0))</f>
        <v/>
      </c>
      <c r="AF84" s="39">
        <f>IF($A84="","",IFERROR($AE84/$Z84,0))</f>
        <v/>
      </c>
      <c r="AG84" s="32" t="n"/>
      <c r="AH84" s="33" t="n"/>
      <c r="AI84" s="40">
        <f>IF($A84="","",IF($C84="Delivered",IFERROR(MAX(0,$AH84-$B84),0),IF($C84="Canceled",0,IFERROR(MAX(0,TODAY()-$B84),0))))</f>
        <v/>
      </c>
      <c r="AJ84" s="34" t="n"/>
    </row>
    <row r="85">
      <c r="A85" s="32" t="n"/>
      <c r="B85" s="33" t="n"/>
      <c r="C85" s="32" t="n"/>
      <c r="D85" s="32" t="n"/>
      <c r="E85" s="34" t="n"/>
      <c r="F85" s="32" t="n"/>
      <c r="G85" s="32" t="n"/>
      <c r="H85" s="32" t="n"/>
      <c r="I85" s="34" t="n"/>
      <c r="J85" s="60" t="n"/>
      <c r="K85" s="60" t="n"/>
      <c r="L85" s="32" t="n"/>
      <c r="M85" s="32" t="n"/>
      <c r="N85" s="32" t="n"/>
      <c r="O85" s="34" t="n"/>
      <c r="P85" s="34" t="n"/>
      <c r="Q85" s="36" t="n"/>
      <c r="R85" s="36" t="n"/>
      <c r="S85" s="36">
        <f>IF($A85="","",IFERROR(SUM($Q85:$R85),0))</f>
        <v/>
      </c>
      <c r="T85" s="36" t="n"/>
      <c r="U85" s="61" t="n"/>
      <c r="V85" s="61">
        <f>IF($A85="","",IFERROR($S85*'Settings'!$B$5,0))</f>
        <v/>
      </c>
      <c r="W85" s="32" t="n"/>
      <c r="X85" s="38" t="n"/>
      <c r="Y85" s="61">
        <f>IF($A85="","",IF(OR($W85="",$W85="None"),0,IFERROR($X85*VLOOKUP($W85,'Settings'!$A$15:$B$114,2,FALSE),0)))</f>
        <v/>
      </c>
      <c r="Z85" s="61">
        <f>IF($A85="","",IFERROR(SUM($U85,$V85,$Y85),0))</f>
        <v/>
      </c>
      <c r="AA85" s="61" t="n"/>
      <c r="AB85" s="61">
        <f>IF($A85="","",IFERROR($T85*'Settings'!$B$4,0))</f>
        <v/>
      </c>
      <c r="AC85" s="61" t="n"/>
      <c r="AD85" s="61">
        <f>IF($A85="","",IFERROR(SUM($AA85,$AB85,$AC85),0))</f>
        <v/>
      </c>
      <c r="AE85" s="61">
        <f>IF($A85="","",IFERROR($Z85-$AD85,0))</f>
        <v/>
      </c>
      <c r="AF85" s="39">
        <f>IF($A85="","",IFERROR($AE85/$Z85,0))</f>
        <v/>
      </c>
      <c r="AG85" s="32" t="n"/>
      <c r="AH85" s="33" t="n"/>
      <c r="AI85" s="40">
        <f>IF($A85="","",IF($C85="Delivered",IFERROR(MAX(0,$AH85-$B85),0),IF($C85="Canceled",0,IFERROR(MAX(0,TODAY()-$B85),0))))</f>
        <v/>
      </c>
      <c r="AJ85" s="34" t="n"/>
    </row>
    <row r="86">
      <c r="A86" s="32" t="n"/>
      <c r="B86" s="33" t="n"/>
      <c r="C86" s="32" t="n"/>
      <c r="D86" s="32" t="n"/>
      <c r="E86" s="34" t="n"/>
      <c r="F86" s="32" t="n"/>
      <c r="G86" s="32" t="n"/>
      <c r="H86" s="32" t="n"/>
      <c r="I86" s="34" t="n"/>
      <c r="J86" s="60" t="n"/>
      <c r="K86" s="60" t="n"/>
      <c r="L86" s="32" t="n"/>
      <c r="M86" s="32" t="n"/>
      <c r="N86" s="32" t="n"/>
      <c r="O86" s="34" t="n"/>
      <c r="P86" s="34" t="n"/>
      <c r="Q86" s="36" t="n"/>
      <c r="R86" s="36" t="n"/>
      <c r="S86" s="36">
        <f>IF($A86="","",IFERROR(SUM($Q86:$R86),0))</f>
        <v/>
      </c>
      <c r="T86" s="36" t="n"/>
      <c r="U86" s="61" t="n"/>
      <c r="V86" s="61">
        <f>IF($A86="","",IFERROR($S86*'Settings'!$B$5,0))</f>
        <v/>
      </c>
      <c r="W86" s="32" t="n"/>
      <c r="X86" s="38" t="n"/>
      <c r="Y86" s="61">
        <f>IF($A86="","",IF(OR($W86="",$W86="None"),0,IFERROR($X86*VLOOKUP($W86,'Settings'!$A$15:$B$114,2,FALSE),0)))</f>
        <v/>
      </c>
      <c r="Z86" s="61">
        <f>IF($A86="","",IFERROR(SUM($U86,$V86,$Y86),0))</f>
        <v/>
      </c>
      <c r="AA86" s="61" t="n"/>
      <c r="AB86" s="61">
        <f>IF($A86="","",IFERROR($T86*'Settings'!$B$4,0))</f>
        <v/>
      </c>
      <c r="AC86" s="61" t="n"/>
      <c r="AD86" s="61">
        <f>IF($A86="","",IFERROR(SUM($AA86,$AB86,$AC86),0))</f>
        <v/>
      </c>
      <c r="AE86" s="61">
        <f>IF($A86="","",IFERROR($Z86-$AD86,0))</f>
        <v/>
      </c>
      <c r="AF86" s="39">
        <f>IF($A86="","",IFERROR($AE86/$Z86,0))</f>
        <v/>
      </c>
      <c r="AG86" s="32" t="n"/>
      <c r="AH86" s="33" t="n"/>
      <c r="AI86" s="40">
        <f>IF($A86="","",IF($C86="Delivered",IFERROR(MAX(0,$AH86-$B86),0),IF($C86="Canceled",0,IFERROR(MAX(0,TODAY()-$B86),0))))</f>
        <v/>
      </c>
      <c r="AJ86" s="34" t="n"/>
    </row>
    <row r="87">
      <c r="A87" s="32" t="n"/>
      <c r="B87" s="33" t="n"/>
      <c r="C87" s="32" t="n"/>
      <c r="D87" s="32" t="n"/>
      <c r="E87" s="34" t="n"/>
      <c r="F87" s="32" t="n"/>
      <c r="G87" s="32" t="n"/>
      <c r="H87" s="32" t="n"/>
      <c r="I87" s="34" t="n"/>
      <c r="J87" s="60" t="n"/>
      <c r="K87" s="60" t="n"/>
      <c r="L87" s="32" t="n"/>
      <c r="M87" s="32" t="n"/>
      <c r="N87" s="32" t="n"/>
      <c r="O87" s="34" t="n"/>
      <c r="P87" s="34" t="n"/>
      <c r="Q87" s="36" t="n"/>
      <c r="R87" s="36" t="n"/>
      <c r="S87" s="36">
        <f>IF($A87="","",IFERROR(SUM($Q87:$R87),0))</f>
        <v/>
      </c>
      <c r="T87" s="36" t="n"/>
      <c r="U87" s="61" t="n"/>
      <c r="V87" s="61">
        <f>IF($A87="","",IFERROR($S87*'Settings'!$B$5,0))</f>
        <v/>
      </c>
      <c r="W87" s="32" t="n"/>
      <c r="X87" s="38" t="n"/>
      <c r="Y87" s="61">
        <f>IF($A87="","",IF(OR($W87="",$W87="None"),0,IFERROR($X87*VLOOKUP($W87,'Settings'!$A$15:$B$114,2,FALSE),0)))</f>
        <v/>
      </c>
      <c r="Z87" s="61">
        <f>IF($A87="","",IFERROR(SUM($U87,$V87,$Y87),0))</f>
        <v/>
      </c>
      <c r="AA87" s="61" t="n"/>
      <c r="AB87" s="61">
        <f>IF($A87="","",IFERROR($T87*'Settings'!$B$4,0))</f>
        <v/>
      </c>
      <c r="AC87" s="61" t="n"/>
      <c r="AD87" s="61">
        <f>IF($A87="","",IFERROR(SUM($AA87,$AB87,$AC87),0))</f>
        <v/>
      </c>
      <c r="AE87" s="61">
        <f>IF($A87="","",IFERROR($Z87-$AD87,0))</f>
        <v/>
      </c>
      <c r="AF87" s="39">
        <f>IF($A87="","",IFERROR($AE87/$Z87,0))</f>
        <v/>
      </c>
      <c r="AG87" s="32" t="n"/>
      <c r="AH87" s="33" t="n"/>
      <c r="AI87" s="40">
        <f>IF($A87="","",IF($C87="Delivered",IFERROR(MAX(0,$AH87-$B87),0),IF($C87="Canceled",0,IFERROR(MAX(0,TODAY()-$B87),0))))</f>
        <v/>
      </c>
      <c r="AJ87" s="34" t="n"/>
    </row>
    <row r="88">
      <c r="A88" s="32" t="n"/>
      <c r="B88" s="33" t="n"/>
      <c r="C88" s="32" t="n"/>
      <c r="D88" s="32" t="n"/>
      <c r="E88" s="34" t="n"/>
      <c r="F88" s="32" t="n"/>
      <c r="G88" s="32" t="n"/>
      <c r="H88" s="32" t="n"/>
      <c r="I88" s="34" t="n"/>
      <c r="J88" s="60" t="n"/>
      <c r="K88" s="60" t="n"/>
      <c r="L88" s="32" t="n"/>
      <c r="M88" s="32" t="n"/>
      <c r="N88" s="32" t="n"/>
      <c r="O88" s="34" t="n"/>
      <c r="P88" s="34" t="n"/>
      <c r="Q88" s="36" t="n"/>
      <c r="R88" s="36" t="n"/>
      <c r="S88" s="36">
        <f>IF($A88="","",IFERROR(SUM($Q88:$R88),0))</f>
        <v/>
      </c>
      <c r="T88" s="36" t="n"/>
      <c r="U88" s="61" t="n"/>
      <c r="V88" s="61">
        <f>IF($A88="","",IFERROR($S88*'Settings'!$B$5,0))</f>
        <v/>
      </c>
      <c r="W88" s="32" t="n"/>
      <c r="X88" s="38" t="n"/>
      <c r="Y88" s="61">
        <f>IF($A88="","",IF(OR($W88="",$W88="None"),0,IFERROR($X88*VLOOKUP($W88,'Settings'!$A$15:$B$114,2,FALSE),0)))</f>
        <v/>
      </c>
      <c r="Z88" s="61">
        <f>IF($A88="","",IFERROR(SUM($U88,$V88,$Y88),0))</f>
        <v/>
      </c>
      <c r="AA88" s="61" t="n"/>
      <c r="AB88" s="61">
        <f>IF($A88="","",IFERROR($T88*'Settings'!$B$4,0))</f>
        <v/>
      </c>
      <c r="AC88" s="61" t="n"/>
      <c r="AD88" s="61">
        <f>IF($A88="","",IFERROR(SUM($AA88,$AB88,$AC88),0))</f>
        <v/>
      </c>
      <c r="AE88" s="61">
        <f>IF($A88="","",IFERROR($Z88-$AD88,0))</f>
        <v/>
      </c>
      <c r="AF88" s="39">
        <f>IF($A88="","",IFERROR($AE88/$Z88,0))</f>
        <v/>
      </c>
      <c r="AG88" s="32" t="n"/>
      <c r="AH88" s="33" t="n"/>
      <c r="AI88" s="40">
        <f>IF($A88="","",IF($C88="Delivered",IFERROR(MAX(0,$AH88-$B88),0),IF($C88="Canceled",0,IFERROR(MAX(0,TODAY()-$B88),0))))</f>
        <v/>
      </c>
      <c r="AJ88" s="34" t="n"/>
    </row>
    <row r="89">
      <c r="A89" s="32" t="n"/>
      <c r="B89" s="33" t="n"/>
      <c r="C89" s="32" t="n"/>
      <c r="D89" s="32" t="n"/>
      <c r="E89" s="34" t="n"/>
      <c r="F89" s="32" t="n"/>
      <c r="G89" s="32" t="n"/>
      <c r="H89" s="32" t="n"/>
      <c r="I89" s="34" t="n"/>
      <c r="J89" s="60" t="n"/>
      <c r="K89" s="60" t="n"/>
      <c r="L89" s="32" t="n"/>
      <c r="M89" s="32" t="n"/>
      <c r="N89" s="32" t="n"/>
      <c r="O89" s="34" t="n"/>
      <c r="P89" s="34" t="n"/>
      <c r="Q89" s="36" t="n"/>
      <c r="R89" s="36" t="n"/>
      <c r="S89" s="36">
        <f>IF($A89="","",IFERROR(SUM($Q89:$R89),0))</f>
        <v/>
      </c>
      <c r="T89" s="36" t="n"/>
      <c r="U89" s="61" t="n"/>
      <c r="V89" s="61">
        <f>IF($A89="","",IFERROR($S89*'Settings'!$B$5,0))</f>
        <v/>
      </c>
      <c r="W89" s="32" t="n"/>
      <c r="X89" s="38" t="n"/>
      <c r="Y89" s="61">
        <f>IF($A89="","",IF(OR($W89="",$W89="None"),0,IFERROR($X89*VLOOKUP($W89,'Settings'!$A$15:$B$114,2,FALSE),0)))</f>
        <v/>
      </c>
      <c r="Z89" s="61">
        <f>IF($A89="","",IFERROR(SUM($U89,$V89,$Y89),0))</f>
        <v/>
      </c>
      <c r="AA89" s="61" t="n"/>
      <c r="AB89" s="61">
        <f>IF($A89="","",IFERROR($T89*'Settings'!$B$4,0))</f>
        <v/>
      </c>
      <c r="AC89" s="61" t="n"/>
      <c r="AD89" s="61">
        <f>IF($A89="","",IFERROR(SUM($AA89,$AB89,$AC89),0))</f>
        <v/>
      </c>
      <c r="AE89" s="61">
        <f>IF($A89="","",IFERROR($Z89-$AD89,0))</f>
        <v/>
      </c>
      <c r="AF89" s="39">
        <f>IF($A89="","",IFERROR($AE89/$Z89,0))</f>
        <v/>
      </c>
      <c r="AG89" s="32" t="n"/>
      <c r="AH89" s="33" t="n"/>
      <c r="AI89" s="40">
        <f>IF($A89="","",IF($C89="Delivered",IFERROR(MAX(0,$AH89-$B89),0),IF($C89="Canceled",0,IFERROR(MAX(0,TODAY()-$B89),0))))</f>
        <v/>
      </c>
      <c r="AJ89" s="34" t="n"/>
    </row>
    <row r="90">
      <c r="A90" s="32" t="n"/>
      <c r="B90" s="33" t="n"/>
      <c r="C90" s="32" t="n"/>
      <c r="D90" s="32" t="n"/>
      <c r="E90" s="34" t="n"/>
      <c r="F90" s="32" t="n"/>
      <c r="G90" s="32" t="n"/>
      <c r="H90" s="32" t="n"/>
      <c r="I90" s="34" t="n"/>
      <c r="J90" s="60" t="n"/>
      <c r="K90" s="60" t="n"/>
      <c r="L90" s="32" t="n"/>
      <c r="M90" s="32" t="n"/>
      <c r="N90" s="32" t="n"/>
      <c r="O90" s="34" t="n"/>
      <c r="P90" s="34" t="n"/>
      <c r="Q90" s="36" t="n"/>
      <c r="R90" s="36" t="n"/>
      <c r="S90" s="36">
        <f>IF($A90="","",IFERROR(SUM($Q90:$R90),0))</f>
        <v/>
      </c>
      <c r="T90" s="36" t="n"/>
      <c r="U90" s="61" t="n"/>
      <c r="V90" s="61">
        <f>IF($A90="","",IFERROR($S90*'Settings'!$B$5,0))</f>
        <v/>
      </c>
      <c r="W90" s="32" t="n"/>
      <c r="X90" s="38" t="n"/>
      <c r="Y90" s="61">
        <f>IF($A90="","",IF(OR($W90="",$W90="None"),0,IFERROR($X90*VLOOKUP($W90,'Settings'!$A$15:$B$114,2,FALSE),0)))</f>
        <v/>
      </c>
      <c r="Z90" s="61">
        <f>IF($A90="","",IFERROR(SUM($U90,$V90,$Y90),0))</f>
        <v/>
      </c>
      <c r="AA90" s="61" t="n"/>
      <c r="AB90" s="61">
        <f>IF($A90="","",IFERROR($T90*'Settings'!$B$4,0))</f>
        <v/>
      </c>
      <c r="AC90" s="61" t="n"/>
      <c r="AD90" s="61">
        <f>IF($A90="","",IFERROR(SUM($AA90,$AB90,$AC90),0))</f>
        <v/>
      </c>
      <c r="AE90" s="61">
        <f>IF($A90="","",IFERROR($Z90-$AD90,0))</f>
        <v/>
      </c>
      <c r="AF90" s="39">
        <f>IF($A90="","",IFERROR($AE90/$Z90,0))</f>
        <v/>
      </c>
      <c r="AG90" s="32" t="n"/>
      <c r="AH90" s="33" t="n"/>
      <c r="AI90" s="40">
        <f>IF($A90="","",IF($C90="Delivered",IFERROR(MAX(0,$AH90-$B90),0),IF($C90="Canceled",0,IFERROR(MAX(0,TODAY()-$B90),0))))</f>
        <v/>
      </c>
      <c r="AJ90" s="34" t="n"/>
    </row>
    <row r="91">
      <c r="A91" s="32" t="n"/>
      <c r="B91" s="33" t="n"/>
      <c r="C91" s="32" t="n"/>
      <c r="D91" s="32" t="n"/>
      <c r="E91" s="34" t="n"/>
      <c r="F91" s="32" t="n"/>
      <c r="G91" s="32" t="n"/>
      <c r="H91" s="32" t="n"/>
      <c r="I91" s="34" t="n"/>
      <c r="J91" s="60" t="n"/>
      <c r="K91" s="60" t="n"/>
      <c r="L91" s="32" t="n"/>
      <c r="M91" s="32" t="n"/>
      <c r="N91" s="32" t="n"/>
      <c r="O91" s="34" t="n"/>
      <c r="P91" s="34" t="n"/>
      <c r="Q91" s="36" t="n"/>
      <c r="R91" s="36" t="n"/>
      <c r="S91" s="36">
        <f>IF($A91="","",IFERROR(SUM($Q91:$R91),0))</f>
        <v/>
      </c>
      <c r="T91" s="36" t="n"/>
      <c r="U91" s="61" t="n"/>
      <c r="V91" s="61">
        <f>IF($A91="","",IFERROR($S91*'Settings'!$B$5,0))</f>
        <v/>
      </c>
      <c r="W91" s="32" t="n"/>
      <c r="X91" s="38" t="n"/>
      <c r="Y91" s="61">
        <f>IF($A91="","",IF(OR($W91="",$W91="None"),0,IFERROR($X91*VLOOKUP($W91,'Settings'!$A$15:$B$114,2,FALSE),0)))</f>
        <v/>
      </c>
      <c r="Z91" s="61">
        <f>IF($A91="","",IFERROR(SUM($U91,$V91,$Y91),0))</f>
        <v/>
      </c>
      <c r="AA91" s="61" t="n"/>
      <c r="AB91" s="61">
        <f>IF($A91="","",IFERROR($T91*'Settings'!$B$4,0))</f>
        <v/>
      </c>
      <c r="AC91" s="61" t="n"/>
      <c r="AD91" s="61">
        <f>IF($A91="","",IFERROR(SUM($AA91,$AB91,$AC91),0))</f>
        <v/>
      </c>
      <c r="AE91" s="61">
        <f>IF($A91="","",IFERROR($Z91-$AD91,0))</f>
        <v/>
      </c>
      <c r="AF91" s="39">
        <f>IF($A91="","",IFERROR($AE91/$Z91,0))</f>
        <v/>
      </c>
      <c r="AG91" s="32" t="n"/>
      <c r="AH91" s="33" t="n"/>
      <c r="AI91" s="40">
        <f>IF($A91="","",IF($C91="Delivered",IFERROR(MAX(0,$AH91-$B91),0),IF($C91="Canceled",0,IFERROR(MAX(0,TODAY()-$B91),0))))</f>
        <v/>
      </c>
      <c r="AJ91" s="34" t="n"/>
    </row>
    <row r="92">
      <c r="A92" s="32" t="n"/>
      <c r="B92" s="33" t="n"/>
      <c r="C92" s="32" t="n"/>
      <c r="D92" s="32" t="n"/>
      <c r="E92" s="34" t="n"/>
      <c r="F92" s="32" t="n"/>
      <c r="G92" s="32" t="n"/>
      <c r="H92" s="32" t="n"/>
      <c r="I92" s="34" t="n"/>
      <c r="J92" s="60" t="n"/>
      <c r="K92" s="60" t="n"/>
      <c r="L92" s="32" t="n"/>
      <c r="M92" s="32" t="n"/>
      <c r="N92" s="32" t="n"/>
      <c r="O92" s="34" t="n"/>
      <c r="P92" s="34" t="n"/>
      <c r="Q92" s="36" t="n"/>
      <c r="R92" s="36" t="n"/>
      <c r="S92" s="36">
        <f>IF($A92="","",IFERROR(SUM($Q92:$R92),0))</f>
        <v/>
      </c>
      <c r="T92" s="36" t="n"/>
      <c r="U92" s="61" t="n"/>
      <c r="V92" s="61">
        <f>IF($A92="","",IFERROR($S92*'Settings'!$B$5,0))</f>
        <v/>
      </c>
      <c r="W92" s="32" t="n"/>
      <c r="X92" s="38" t="n"/>
      <c r="Y92" s="61">
        <f>IF($A92="","",IF(OR($W92="",$W92="None"),0,IFERROR($X92*VLOOKUP($W92,'Settings'!$A$15:$B$114,2,FALSE),0)))</f>
        <v/>
      </c>
      <c r="Z92" s="61">
        <f>IF($A92="","",IFERROR(SUM($U92,$V92,$Y92),0))</f>
        <v/>
      </c>
      <c r="AA92" s="61" t="n"/>
      <c r="AB92" s="61">
        <f>IF($A92="","",IFERROR($T92*'Settings'!$B$4,0))</f>
        <v/>
      </c>
      <c r="AC92" s="61" t="n"/>
      <c r="AD92" s="61">
        <f>IF($A92="","",IFERROR(SUM($AA92,$AB92,$AC92),0))</f>
        <v/>
      </c>
      <c r="AE92" s="61">
        <f>IF($A92="","",IFERROR($Z92-$AD92,0))</f>
        <v/>
      </c>
      <c r="AF92" s="39">
        <f>IF($A92="","",IFERROR($AE92/$Z92,0))</f>
        <v/>
      </c>
      <c r="AG92" s="32" t="n"/>
      <c r="AH92" s="33" t="n"/>
      <c r="AI92" s="40">
        <f>IF($A92="","",IF($C92="Delivered",IFERROR(MAX(0,$AH92-$B92),0),IF($C92="Canceled",0,IFERROR(MAX(0,TODAY()-$B92),0))))</f>
        <v/>
      </c>
      <c r="AJ92" s="34" t="n"/>
    </row>
    <row r="93">
      <c r="A93" s="32" t="n"/>
      <c r="B93" s="33" t="n"/>
      <c r="C93" s="32" t="n"/>
      <c r="D93" s="32" t="n"/>
      <c r="E93" s="34" t="n"/>
      <c r="F93" s="32" t="n"/>
      <c r="G93" s="32" t="n"/>
      <c r="H93" s="32" t="n"/>
      <c r="I93" s="34" t="n"/>
      <c r="J93" s="60" t="n"/>
      <c r="K93" s="60" t="n"/>
      <c r="L93" s="32" t="n"/>
      <c r="M93" s="32" t="n"/>
      <c r="N93" s="32" t="n"/>
      <c r="O93" s="34" t="n"/>
      <c r="P93" s="34" t="n"/>
      <c r="Q93" s="36" t="n"/>
      <c r="R93" s="36" t="n"/>
      <c r="S93" s="36">
        <f>IF($A93="","",IFERROR(SUM($Q93:$R93),0))</f>
        <v/>
      </c>
      <c r="T93" s="36" t="n"/>
      <c r="U93" s="61" t="n"/>
      <c r="V93" s="61">
        <f>IF($A93="","",IFERROR($S93*'Settings'!$B$5,0))</f>
        <v/>
      </c>
      <c r="W93" s="32" t="n"/>
      <c r="X93" s="38" t="n"/>
      <c r="Y93" s="61">
        <f>IF($A93="","",IF(OR($W93="",$W93="None"),0,IFERROR($X93*VLOOKUP($W93,'Settings'!$A$15:$B$114,2,FALSE),0)))</f>
        <v/>
      </c>
      <c r="Z93" s="61">
        <f>IF($A93="","",IFERROR(SUM($U93,$V93,$Y93),0))</f>
        <v/>
      </c>
      <c r="AA93" s="61" t="n"/>
      <c r="AB93" s="61">
        <f>IF($A93="","",IFERROR($T93*'Settings'!$B$4,0))</f>
        <v/>
      </c>
      <c r="AC93" s="61" t="n"/>
      <c r="AD93" s="61">
        <f>IF($A93="","",IFERROR(SUM($AA93,$AB93,$AC93),0))</f>
        <v/>
      </c>
      <c r="AE93" s="61">
        <f>IF($A93="","",IFERROR($Z93-$AD93,0))</f>
        <v/>
      </c>
      <c r="AF93" s="39">
        <f>IF($A93="","",IFERROR($AE93/$Z93,0))</f>
        <v/>
      </c>
      <c r="AG93" s="32" t="n"/>
      <c r="AH93" s="33" t="n"/>
      <c r="AI93" s="40">
        <f>IF($A93="","",IF($C93="Delivered",IFERROR(MAX(0,$AH93-$B93),0),IF($C93="Canceled",0,IFERROR(MAX(0,TODAY()-$B93),0))))</f>
        <v/>
      </c>
      <c r="AJ93" s="34" t="n"/>
    </row>
    <row r="94">
      <c r="A94" s="32" t="n"/>
      <c r="B94" s="33" t="n"/>
      <c r="C94" s="32" t="n"/>
      <c r="D94" s="32" t="n"/>
      <c r="E94" s="34" t="n"/>
      <c r="F94" s="32" t="n"/>
      <c r="G94" s="32" t="n"/>
      <c r="H94" s="32" t="n"/>
      <c r="I94" s="34" t="n"/>
      <c r="J94" s="60" t="n"/>
      <c r="K94" s="60" t="n"/>
      <c r="L94" s="32" t="n"/>
      <c r="M94" s="32" t="n"/>
      <c r="N94" s="32" t="n"/>
      <c r="O94" s="34" t="n"/>
      <c r="P94" s="34" t="n"/>
      <c r="Q94" s="36" t="n"/>
      <c r="R94" s="36" t="n"/>
      <c r="S94" s="36">
        <f>IF($A94="","",IFERROR(SUM($Q94:$R94),0))</f>
        <v/>
      </c>
      <c r="T94" s="36" t="n"/>
      <c r="U94" s="61" t="n"/>
      <c r="V94" s="61">
        <f>IF($A94="","",IFERROR($S94*'Settings'!$B$5,0))</f>
        <v/>
      </c>
      <c r="W94" s="32" t="n"/>
      <c r="X94" s="38" t="n"/>
      <c r="Y94" s="61">
        <f>IF($A94="","",IF(OR($W94="",$W94="None"),0,IFERROR($X94*VLOOKUP($W94,'Settings'!$A$15:$B$114,2,FALSE),0)))</f>
        <v/>
      </c>
      <c r="Z94" s="61">
        <f>IF($A94="","",IFERROR(SUM($U94,$V94,$Y94),0))</f>
        <v/>
      </c>
      <c r="AA94" s="61" t="n"/>
      <c r="AB94" s="61">
        <f>IF($A94="","",IFERROR($T94*'Settings'!$B$4,0))</f>
        <v/>
      </c>
      <c r="AC94" s="61" t="n"/>
      <c r="AD94" s="61">
        <f>IF($A94="","",IFERROR(SUM($AA94,$AB94,$AC94),0))</f>
        <v/>
      </c>
      <c r="AE94" s="61">
        <f>IF($A94="","",IFERROR($Z94-$AD94,0))</f>
        <v/>
      </c>
      <c r="AF94" s="39">
        <f>IF($A94="","",IFERROR($AE94/$Z94,0))</f>
        <v/>
      </c>
      <c r="AG94" s="32" t="n"/>
      <c r="AH94" s="33" t="n"/>
      <c r="AI94" s="40">
        <f>IF($A94="","",IF($C94="Delivered",IFERROR(MAX(0,$AH94-$B94),0),IF($C94="Canceled",0,IFERROR(MAX(0,TODAY()-$B94),0))))</f>
        <v/>
      </c>
      <c r="AJ94" s="34" t="n"/>
    </row>
    <row r="95">
      <c r="A95" s="32" t="n"/>
      <c r="B95" s="33" t="n"/>
      <c r="C95" s="32" t="n"/>
      <c r="D95" s="32" t="n"/>
      <c r="E95" s="34" t="n"/>
      <c r="F95" s="32" t="n"/>
      <c r="G95" s="32" t="n"/>
      <c r="H95" s="32" t="n"/>
      <c r="I95" s="34" t="n"/>
      <c r="J95" s="60" t="n"/>
      <c r="K95" s="60" t="n"/>
      <c r="L95" s="32" t="n"/>
      <c r="M95" s="32" t="n"/>
      <c r="N95" s="32" t="n"/>
      <c r="O95" s="34" t="n"/>
      <c r="P95" s="34" t="n"/>
      <c r="Q95" s="36" t="n"/>
      <c r="R95" s="36" t="n"/>
      <c r="S95" s="36">
        <f>IF($A95="","",IFERROR(SUM($Q95:$R95),0))</f>
        <v/>
      </c>
      <c r="T95" s="36" t="n"/>
      <c r="U95" s="61" t="n"/>
      <c r="V95" s="61">
        <f>IF($A95="","",IFERROR($S95*'Settings'!$B$5,0))</f>
        <v/>
      </c>
      <c r="W95" s="32" t="n"/>
      <c r="X95" s="38" t="n"/>
      <c r="Y95" s="61">
        <f>IF($A95="","",IF(OR($W95="",$W95="None"),0,IFERROR($X95*VLOOKUP($W95,'Settings'!$A$15:$B$114,2,FALSE),0)))</f>
        <v/>
      </c>
      <c r="Z95" s="61">
        <f>IF($A95="","",IFERROR(SUM($U95,$V95,$Y95),0))</f>
        <v/>
      </c>
      <c r="AA95" s="61" t="n"/>
      <c r="AB95" s="61">
        <f>IF($A95="","",IFERROR($T95*'Settings'!$B$4,0))</f>
        <v/>
      </c>
      <c r="AC95" s="61" t="n"/>
      <c r="AD95" s="61">
        <f>IF($A95="","",IFERROR(SUM($AA95,$AB95,$AC95),0))</f>
        <v/>
      </c>
      <c r="AE95" s="61">
        <f>IF($A95="","",IFERROR($Z95-$AD95,0))</f>
        <v/>
      </c>
      <c r="AF95" s="39">
        <f>IF($A95="","",IFERROR($AE95/$Z95,0))</f>
        <v/>
      </c>
      <c r="AG95" s="32" t="n"/>
      <c r="AH95" s="33" t="n"/>
      <c r="AI95" s="40">
        <f>IF($A95="","",IF($C95="Delivered",IFERROR(MAX(0,$AH95-$B95),0),IF($C95="Canceled",0,IFERROR(MAX(0,TODAY()-$B95),0))))</f>
        <v/>
      </c>
      <c r="AJ95" s="34" t="n"/>
    </row>
    <row r="96">
      <c r="A96" s="32" t="n"/>
      <c r="B96" s="33" t="n"/>
      <c r="C96" s="32" t="n"/>
      <c r="D96" s="32" t="n"/>
      <c r="E96" s="34" t="n"/>
      <c r="F96" s="32" t="n"/>
      <c r="G96" s="32" t="n"/>
      <c r="H96" s="32" t="n"/>
      <c r="I96" s="34" t="n"/>
      <c r="J96" s="60" t="n"/>
      <c r="K96" s="60" t="n"/>
      <c r="L96" s="32" t="n"/>
      <c r="M96" s="32" t="n"/>
      <c r="N96" s="32" t="n"/>
      <c r="O96" s="34" t="n"/>
      <c r="P96" s="34" t="n"/>
      <c r="Q96" s="36" t="n"/>
      <c r="R96" s="36" t="n"/>
      <c r="S96" s="36">
        <f>IF($A96="","",IFERROR(SUM($Q96:$R96),0))</f>
        <v/>
      </c>
      <c r="T96" s="36" t="n"/>
      <c r="U96" s="61" t="n"/>
      <c r="V96" s="61">
        <f>IF($A96="","",IFERROR($S96*'Settings'!$B$5,0))</f>
        <v/>
      </c>
      <c r="W96" s="32" t="n"/>
      <c r="X96" s="38" t="n"/>
      <c r="Y96" s="61">
        <f>IF($A96="","",IF(OR($W96="",$W96="None"),0,IFERROR($X96*VLOOKUP($W96,'Settings'!$A$15:$B$114,2,FALSE),0)))</f>
        <v/>
      </c>
      <c r="Z96" s="61">
        <f>IF($A96="","",IFERROR(SUM($U96,$V96,$Y96),0))</f>
        <v/>
      </c>
      <c r="AA96" s="61" t="n"/>
      <c r="AB96" s="61">
        <f>IF($A96="","",IFERROR($T96*'Settings'!$B$4,0))</f>
        <v/>
      </c>
      <c r="AC96" s="61" t="n"/>
      <c r="AD96" s="61">
        <f>IF($A96="","",IFERROR(SUM($AA96,$AB96,$AC96),0))</f>
        <v/>
      </c>
      <c r="AE96" s="61">
        <f>IF($A96="","",IFERROR($Z96-$AD96,0))</f>
        <v/>
      </c>
      <c r="AF96" s="39">
        <f>IF($A96="","",IFERROR($AE96/$Z96,0))</f>
        <v/>
      </c>
      <c r="AG96" s="32" t="n"/>
      <c r="AH96" s="33" t="n"/>
      <c r="AI96" s="40">
        <f>IF($A96="","",IF($C96="Delivered",IFERROR(MAX(0,$AH96-$B96),0),IF($C96="Canceled",0,IFERROR(MAX(0,TODAY()-$B96),0))))</f>
        <v/>
      </c>
      <c r="AJ96" s="34" t="n"/>
    </row>
    <row r="97">
      <c r="A97" s="32" t="n"/>
      <c r="B97" s="33" t="n"/>
      <c r="C97" s="32" t="n"/>
      <c r="D97" s="32" t="n"/>
      <c r="E97" s="34" t="n"/>
      <c r="F97" s="32" t="n"/>
      <c r="G97" s="32" t="n"/>
      <c r="H97" s="32" t="n"/>
      <c r="I97" s="34" t="n"/>
      <c r="J97" s="60" t="n"/>
      <c r="K97" s="60" t="n"/>
      <c r="L97" s="32" t="n"/>
      <c r="M97" s="32" t="n"/>
      <c r="N97" s="32" t="n"/>
      <c r="O97" s="34" t="n"/>
      <c r="P97" s="34" t="n"/>
      <c r="Q97" s="36" t="n"/>
      <c r="R97" s="36" t="n"/>
      <c r="S97" s="36">
        <f>IF($A97="","",IFERROR(SUM($Q97:$R97),0))</f>
        <v/>
      </c>
      <c r="T97" s="36" t="n"/>
      <c r="U97" s="61" t="n"/>
      <c r="V97" s="61">
        <f>IF($A97="","",IFERROR($S97*'Settings'!$B$5,0))</f>
        <v/>
      </c>
      <c r="W97" s="32" t="n"/>
      <c r="X97" s="38" t="n"/>
      <c r="Y97" s="61">
        <f>IF($A97="","",IF(OR($W97="",$W97="None"),0,IFERROR($X97*VLOOKUP($W97,'Settings'!$A$15:$B$114,2,FALSE),0)))</f>
        <v/>
      </c>
      <c r="Z97" s="61">
        <f>IF($A97="","",IFERROR(SUM($U97,$V97,$Y97),0))</f>
        <v/>
      </c>
      <c r="AA97" s="61" t="n"/>
      <c r="AB97" s="61">
        <f>IF($A97="","",IFERROR($T97*'Settings'!$B$4,0))</f>
        <v/>
      </c>
      <c r="AC97" s="61" t="n"/>
      <c r="AD97" s="61">
        <f>IF($A97="","",IFERROR(SUM($AA97,$AB97,$AC97),0))</f>
        <v/>
      </c>
      <c r="AE97" s="61">
        <f>IF($A97="","",IFERROR($Z97-$AD97,0))</f>
        <v/>
      </c>
      <c r="AF97" s="39">
        <f>IF($A97="","",IFERROR($AE97/$Z97,0))</f>
        <v/>
      </c>
      <c r="AG97" s="32" t="n"/>
      <c r="AH97" s="33" t="n"/>
      <c r="AI97" s="40">
        <f>IF($A97="","",IF($C97="Delivered",IFERROR(MAX(0,$AH97-$B97),0),IF($C97="Canceled",0,IFERROR(MAX(0,TODAY()-$B97),0))))</f>
        <v/>
      </c>
      <c r="AJ97" s="34" t="n"/>
    </row>
    <row r="98">
      <c r="A98" s="32" t="n"/>
      <c r="B98" s="33" t="n"/>
      <c r="C98" s="32" t="n"/>
      <c r="D98" s="32" t="n"/>
      <c r="E98" s="34" t="n"/>
      <c r="F98" s="32" t="n"/>
      <c r="G98" s="32" t="n"/>
      <c r="H98" s="32" t="n"/>
      <c r="I98" s="34" t="n"/>
      <c r="J98" s="60" t="n"/>
      <c r="K98" s="60" t="n"/>
      <c r="L98" s="32" t="n"/>
      <c r="M98" s="32" t="n"/>
      <c r="N98" s="32" t="n"/>
      <c r="O98" s="34" t="n"/>
      <c r="P98" s="34" t="n"/>
      <c r="Q98" s="36" t="n"/>
      <c r="R98" s="36" t="n"/>
      <c r="S98" s="36">
        <f>IF($A98="","",IFERROR(SUM($Q98:$R98),0))</f>
        <v/>
      </c>
      <c r="T98" s="36" t="n"/>
      <c r="U98" s="61" t="n"/>
      <c r="V98" s="61">
        <f>IF($A98="","",IFERROR($S98*'Settings'!$B$5,0))</f>
        <v/>
      </c>
      <c r="W98" s="32" t="n"/>
      <c r="X98" s="38" t="n"/>
      <c r="Y98" s="61">
        <f>IF($A98="","",IF(OR($W98="",$W98="None"),0,IFERROR($X98*VLOOKUP($W98,'Settings'!$A$15:$B$114,2,FALSE),0)))</f>
        <v/>
      </c>
      <c r="Z98" s="61">
        <f>IF($A98="","",IFERROR(SUM($U98,$V98,$Y98),0))</f>
        <v/>
      </c>
      <c r="AA98" s="61" t="n"/>
      <c r="AB98" s="61">
        <f>IF($A98="","",IFERROR($T98*'Settings'!$B$4,0))</f>
        <v/>
      </c>
      <c r="AC98" s="61" t="n"/>
      <c r="AD98" s="61">
        <f>IF($A98="","",IFERROR(SUM($AA98,$AB98,$AC98),0))</f>
        <v/>
      </c>
      <c r="AE98" s="61">
        <f>IF($A98="","",IFERROR($Z98-$AD98,0))</f>
        <v/>
      </c>
      <c r="AF98" s="39">
        <f>IF($A98="","",IFERROR($AE98/$Z98,0))</f>
        <v/>
      </c>
      <c r="AG98" s="32" t="n"/>
      <c r="AH98" s="33" t="n"/>
      <c r="AI98" s="40">
        <f>IF($A98="","",IF($C98="Delivered",IFERROR(MAX(0,$AH98-$B98),0),IF($C98="Canceled",0,IFERROR(MAX(0,TODAY()-$B98),0))))</f>
        <v/>
      </c>
      <c r="AJ98" s="34" t="n"/>
    </row>
    <row r="99">
      <c r="A99" s="32" t="n"/>
      <c r="B99" s="33" t="n"/>
      <c r="C99" s="32" t="n"/>
      <c r="D99" s="32" t="n"/>
      <c r="E99" s="34" t="n"/>
      <c r="F99" s="32" t="n"/>
      <c r="G99" s="32" t="n"/>
      <c r="H99" s="32" t="n"/>
      <c r="I99" s="34" t="n"/>
      <c r="J99" s="60" t="n"/>
      <c r="K99" s="60" t="n"/>
      <c r="L99" s="32" t="n"/>
      <c r="M99" s="32" t="n"/>
      <c r="N99" s="32" t="n"/>
      <c r="O99" s="34" t="n"/>
      <c r="P99" s="34" t="n"/>
      <c r="Q99" s="36" t="n"/>
      <c r="R99" s="36" t="n"/>
      <c r="S99" s="36">
        <f>IF($A99="","",IFERROR(SUM($Q99:$R99),0))</f>
        <v/>
      </c>
      <c r="T99" s="36" t="n"/>
      <c r="U99" s="61" t="n"/>
      <c r="V99" s="61">
        <f>IF($A99="","",IFERROR($S99*'Settings'!$B$5,0))</f>
        <v/>
      </c>
      <c r="W99" s="32" t="n"/>
      <c r="X99" s="38" t="n"/>
      <c r="Y99" s="61">
        <f>IF($A99="","",IF(OR($W99="",$W99="None"),0,IFERROR($X99*VLOOKUP($W99,'Settings'!$A$15:$B$114,2,FALSE),0)))</f>
        <v/>
      </c>
      <c r="Z99" s="61">
        <f>IF($A99="","",IFERROR(SUM($U99,$V99,$Y99),0))</f>
        <v/>
      </c>
      <c r="AA99" s="61" t="n"/>
      <c r="AB99" s="61">
        <f>IF($A99="","",IFERROR($T99*'Settings'!$B$4,0))</f>
        <v/>
      </c>
      <c r="AC99" s="61" t="n"/>
      <c r="AD99" s="61">
        <f>IF($A99="","",IFERROR(SUM($AA99,$AB99,$AC99),0))</f>
        <v/>
      </c>
      <c r="AE99" s="61">
        <f>IF($A99="","",IFERROR($Z99-$AD99,0))</f>
        <v/>
      </c>
      <c r="AF99" s="39">
        <f>IF($A99="","",IFERROR($AE99/$Z99,0))</f>
        <v/>
      </c>
      <c r="AG99" s="32" t="n"/>
      <c r="AH99" s="33" t="n"/>
      <c r="AI99" s="40">
        <f>IF($A99="","",IF($C99="Delivered",IFERROR(MAX(0,$AH99-$B99),0),IF($C99="Canceled",0,IFERROR(MAX(0,TODAY()-$B99),0))))</f>
        <v/>
      </c>
      <c r="AJ99" s="34" t="n"/>
    </row>
    <row r="100">
      <c r="A100" s="32" t="n"/>
      <c r="B100" s="33" t="n"/>
      <c r="C100" s="32" t="n"/>
      <c r="D100" s="32" t="n"/>
      <c r="E100" s="34" t="n"/>
      <c r="F100" s="32" t="n"/>
      <c r="G100" s="32" t="n"/>
      <c r="H100" s="32" t="n"/>
      <c r="I100" s="34" t="n"/>
      <c r="J100" s="60" t="n"/>
      <c r="K100" s="60" t="n"/>
      <c r="L100" s="32" t="n"/>
      <c r="M100" s="32" t="n"/>
      <c r="N100" s="32" t="n"/>
      <c r="O100" s="34" t="n"/>
      <c r="P100" s="34" t="n"/>
      <c r="Q100" s="36" t="n"/>
      <c r="R100" s="36" t="n"/>
      <c r="S100" s="36">
        <f>IF($A100="","",IFERROR(SUM($Q100:$R100),0))</f>
        <v/>
      </c>
      <c r="T100" s="36" t="n"/>
      <c r="U100" s="61" t="n"/>
      <c r="V100" s="61">
        <f>IF($A100="","",IFERROR($S100*'Settings'!$B$5,0))</f>
        <v/>
      </c>
      <c r="W100" s="32" t="n"/>
      <c r="X100" s="38" t="n"/>
      <c r="Y100" s="61">
        <f>IF($A100="","",IF(OR($W100="",$W100="None"),0,IFERROR($X100*VLOOKUP($W100,'Settings'!$A$15:$B$114,2,FALSE),0)))</f>
        <v/>
      </c>
      <c r="Z100" s="61">
        <f>IF($A100="","",IFERROR(SUM($U100,$V100,$Y100),0))</f>
        <v/>
      </c>
      <c r="AA100" s="61" t="n"/>
      <c r="AB100" s="61">
        <f>IF($A100="","",IFERROR($T100*'Settings'!$B$4,0))</f>
        <v/>
      </c>
      <c r="AC100" s="61" t="n"/>
      <c r="AD100" s="61">
        <f>IF($A100="","",IFERROR(SUM($AA100,$AB100,$AC100),0))</f>
        <v/>
      </c>
      <c r="AE100" s="61">
        <f>IF($A100="","",IFERROR($Z100-$AD100,0))</f>
        <v/>
      </c>
      <c r="AF100" s="39">
        <f>IF($A100="","",IFERROR($AE100/$Z100,0))</f>
        <v/>
      </c>
      <c r="AG100" s="32" t="n"/>
      <c r="AH100" s="33" t="n"/>
      <c r="AI100" s="40">
        <f>IF($A100="","",IF($C100="Delivered",IFERROR(MAX(0,$AH100-$B100),0),IF($C100="Canceled",0,IFERROR(MAX(0,TODAY()-$B100),0))))</f>
        <v/>
      </c>
      <c r="AJ100" s="34" t="n"/>
    </row>
    <row r="101">
      <c r="A101" s="32" t="n"/>
      <c r="B101" s="33" t="n"/>
      <c r="C101" s="32" t="n"/>
      <c r="D101" s="32" t="n"/>
      <c r="E101" s="34" t="n"/>
      <c r="F101" s="32" t="n"/>
      <c r="G101" s="32" t="n"/>
      <c r="H101" s="32" t="n"/>
      <c r="I101" s="34" t="n"/>
      <c r="J101" s="60" t="n"/>
      <c r="K101" s="60" t="n"/>
      <c r="L101" s="32" t="n"/>
      <c r="M101" s="32" t="n"/>
      <c r="N101" s="32" t="n"/>
      <c r="O101" s="34" t="n"/>
      <c r="P101" s="34" t="n"/>
      <c r="Q101" s="36" t="n"/>
      <c r="R101" s="36" t="n"/>
      <c r="S101" s="36">
        <f>IF($A101="","",IFERROR(SUM($Q101:$R101),0))</f>
        <v/>
      </c>
      <c r="T101" s="36" t="n"/>
      <c r="U101" s="61" t="n"/>
      <c r="V101" s="61">
        <f>IF($A101="","",IFERROR($S101*'Settings'!$B$5,0))</f>
        <v/>
      </c>
      <c r="W101" s="32" t="n"/>
      <c r="X101" s="38" t="n"/>
      <c r="Y101" s="61">
        <f>IF($A101="","",IF(OR($W101="",$W101="None"),0,IFERROR($X101*VLOOKUP($W101,'Settings'!$A$15:$B$114,2,FALSE),0)))</f>
        <v/>
      </c>
      <c r="Z101" s="61">
        <f>IF($A101="","",IFERROR(SUM($U101,$V101,$Y101),0))</f>
        <v/>
      </c>
      <c r="AA101" s="61" t="n"/>
      <c r="AB101" s="61">
        <f>IF($A101="","",IFERROR($T101*'Settings'!$B$4,0))</f>
        <v/>
      </c>
      <c r="AC101" s="61" t="n"/>
      <c r="AD101" s="61">
        <f>IF($A101="","",IFERROR(SUM($AA101,$AB101,$AC101),0))</f>
        <v/>
      </c>
      <c r="AE101" s="61">
        <f>IF($A101="","",IFERROR($Z101-$AD101,0))</f>
        <v/>
      </c>
      <c r="AF101" s="39">
        <f>IF($A101="","",IFERROR($AE101/$Z101,0))</f>
        <v/>
      </c>
      <c r="AG101" s="32" t="n"/>
      <c r="AH101" s="33" t="n"/>
      <c r="AI101" s="40">
        <f>IF($A101="","",IF($C101="Delivered",IFERROR(MAX(0,$AH101-$B101),0),IF($C101="Canceled",0,IFERROR(MAX(0,TODAY()-$B101),0))))</f>
        <v/>
      </c>
      <c r="AJ101" s="34" t="n"/>
    </row>
    <row r="102">
      <c r="A102" s="32" t="n"/>
      <c r="B102" s="33" t="n"/>
      <c r="C102" s="32" t="n"/>
      <c r="D102" s="32" t="n"/>
      <c r="E102" s="34" t="n"/>
      <c r="F102" s="32" t="n"/>
      <c r="G102" s="32" t="n"/>
      <c r="H102" s="32" t="n"/>
      <c r="I102" s="34" t="n"/>
      <c r="J102" s="60" t="n"/>
      <c r="K102" s="60" t="n"/>
      <c r="L102" s="32" t="n"/>
      <c r="M102" s="32" t="n"/>
      <c r="N102" s="32" t="n"/>
      <c r="O102" s="34" t="n"/>
      <c r="P102" s="34" t="n"/>
      <c r="Q102" s="36" t="n"/>
      <c r="R102" s="36" t="n"/>
      <c r="S102" s="36">
        <f>IF($A102="","",IFERROR(SUM($Q102:$R102),0))</f>
        <v/>
      </c>
      <c r="T102" s="36" t="n"/>
      <c r="U102" s="61" t="n"/>
      <c r="V102" s="61">
        <f>IF($A102="","",IFERROR($S102*'Settings'!$B$5,0))</f>
        <v/>
      </c>
      <c r="W102" s="32" t="n"/>
      <c r="X102" s="38" t="n"/>
      <c r="Y102" s="61">
        <f>IF($A102="","",IF(OR($W102="",$W102="None"),0,IFERROR($X102*VLOOKUP($W102,'Settings'!$A$15:$B$114,2,FALSE),0)))</f>
        <v/>
      </c>
      <c r="Z102" s="61">
        <f>IF($A102="","",IFERROR(SUM($U102,$V102,$Y102),0))</f>
        <v/>
      </c>
      <c r="AA102" s="61" t="n"/>
      <c r="AB102" s="61">
        <f>IF($A102="","",IFERROR($T102*'Settings'!$B$4,0))</f>
        <v/>
      </c>
      <c r="AC102" s="61" t="n"/>
      <c r="AD102" s="61">
        <f>IF($A102="","",IFERROR(SUM($AA102,$AB102,$AC102),0))</f>
        <v/>
      </c>
      <c r="AE102" s="61">
        <f>IF($A102="","",IFERROR($Z102-$AD102,0))</f>
        <v/>
      </c>
      <c r="AF102" s="39">
        <f>IF($A102="","",IFERROR($AE102/$Z102,0))</f>
        <v/>
      </c>
      <c r="AG102" s="32" t="n"/>
      <c r="AH102" s="33" t="n"/>
      <c r="AI102" s="40">
        <f>IF($A102="","",IF($C102="Delivered",IFERROR(MAX(0,$AH102-$B102),0),IF($C102="Canceled",0,IFERROR(MAX(0,TODAY()-$B102),0))))</f>
        <v/>
      </c>
      <c r="AJ102" s="34" t="n"/>
    </row>
    <row r="103">
      <c r="A103" s="32" t="n"/>
      <c r="B103" s="33" t="n"/>
      <c r="C103" s="32" t="n"/>
      <c r="D103" s="32" t="n"/>
      <c r="E103" s="34" t="n"/>
      <c r="F103" s="32" t="n"/>
      <c r="G103" s="32" t="n"/>
      <c r="H103" s="32" t="n"/>
      <c r="I103" s="34" t="n"/>
      <c r="J103" s="60" t="n"/>
      <c r="K103" s="60" t="n"/>
      <c r="L103" s="32" t="n"/>
      <c r="M103" s="32" t="n"/>
      <c r="N103" s="32" t="n"/>
      <c r="O103" s="34" t="n"/>
      <c r="P103" s="34" t="n"/>
      <c r="Q103" s="36" t="n"/>
      <c r="R103" s="36" t="n"/>
      <c r="S103" s="36">
        <f>IF($A103="","",IFERROR(SUM($Q103:$R103),0))</f>
        <v/>
      </c>
      <c r="T103" s="36" t="n"/>
      <c r="U103" s="61" t="n"/>
      <c r="V103" s="61">
        <f>IF($A103="","",IFERROR($S103*'Settings'!$B$5,0))</f>
        <v/>
      </c>
      <c r="W103" s="32" t="n"/>
      <c r="X103" s="38" t="n"/>
      <c r="Y103" s="61">
        <f>IF($A103="","",IF(OR($W103="",$W103="None"),0,IFERROR($X103*VLOOKUP($W103,'Settings'!$A$15:$B$114,2,FALSE),0)))</f>
        <v/>
      </c>
      <c r="Z103" s="61">
        <f>IF($A103="","",IFERROR(SUM($U103,$V103,$Y103),0))</f>
        <v/>
      </c>
      <c r="AA103" s="61" t="n"/>
      <c r="AB103" s="61">
        <f>IF($A103="","",IFERROR($T103*'Settings'!$B$4,0))</f>
        <v/>
      </c>
      <c r="AC103" s="61" t="n"/>
      <c r="AD103" s="61">
        <f>IF($A103="","",IFERROR(SUM($AA103,$AB103,$AC103),0))</f>
        <v/>
      </c>
      <c r="AE103" s="61">
        <f>IF($A103="","",IFERROR($Z103-$AD103,0))</f>
        <v/>
      </c>
      <c r="AF103" s="39">
        <f>IF($A103="","",IFERROR($AE103/$Z103,0))</f>
        <v/>
      </c>
      <c r="AG103" s="32" t="n"/>
      <c r="AH103" s="33" t="n"/>
      <c r="AI103" s="40">
        <f>IF($A103="","",IF($C103="Delivered",IFERROR(MAX(0,$AH103-$B103),0),IF($C103="Canceled",0,IFERROR(MAX(0,TODAY()-$B103),0))))</f>
        <v/>
      </c>
      <c r="AJ103" s="34" t="n"/>
    </row>
    <row r="104">
      <c r="A104" s="32" t="n"/>
      <c r="B104" s="33" t="n"/>
      <c r="C104" s="32" t="n"/>
      <c r="D104" s="32" t="n"/>
      <c r="E104" s="34" t="n"/>
      <c r="F104" s="32" t="n"/>
      <c r="G104" s="32" t="n"/>
      <c r="H104" s="32" t="n"/>
      <c r="I104" s="34" t="n"/>
      <c r="J104" s="60" t="n"/>
      <c r="K104" s="60" t="n"/>
      <c r="L104" s="32" t="n"/>
      <c r="M104" s="32" t="n"/>
      <c r="N104" s="32" t="n"/>
      <c r="O104" s="34" t="n"/>
      <c r="P104" s="34" t="n"/>
      <c r="Q104" s="36" t="n"/>
      <c r="R104" s="36" t="n"/>
      <c r="S104" s="36">
        <f>IF($A104="","",IFERROR(SUM($Q104:$R104),0))</f>
        <v/>
      </c>
      <c r="T104" s="36" t="n"/>
      <c r="U104" s="61" t="n"/>
      <c r="V104" s="61">
        <f>IF($A104="","",IFERROR($S104*'Settings'!$B$5,0))</f>
        <v/>
      </c>
      <c r="W104" s="32" t="n"/>
      <c r="X104" s="38" t="n"/>
      <c r="Y104" s="61">
        <f>IF($A104="","",IF(OR($W104="",$W104="None"),0,IFERROR($X104*VLOOKUP($W104,'Settings'!$A$15:$B$114,2,FALSE),0)))</f>
        <v/>
      </c>
      <c r="Z104" s="61">
        <f>IF($A104="","",IFERROR(SUM($U104,$V104,$Y104),0))</f>
        <v/>
      </c>
      <c r="AA104" s="61" t="n"/>
      <c r="AB104" s="61">
        <f>IF($A104="","",IFERROR($T104*'Settings'!$B$4,0))</f>
        <v/>
      </c>
      <c r="AC104" s="61" t="n"/>
      <c r="AD104" s="61">
        <f>IF($A104="","",IFERROR(SUM($AA104,$AB104,$AC104),0))</f>
        <v/>
      </c>
      <c r="AE104" s="61">
        <f>IF($A104="","",IFERROR($Z104-$AD104,0))</f>
        <v/>
      </c>
      <c r="AF104" s="39">
        <f>IF($A104="","",IFERROR($AE104/$Z104,0))</f>
        <v/>
      </c>
      <c r="AG104" s="32" t="n"/>
      <c r="AH104" s="33" t="n"/>
      <c r="AI104" s="40">
        <f>IF($A104="","",IF($C104="Delivered",IFERROR(MAX(0,$AH104-$B104),0),IF($C104="Canceled",0,IFERROR(MAX(0,TODAY()-$B104),0))))</f>
        <v/>
      </c>
      <c r="AJ104" s="34" t="n"/>
    </row>
    <row r="105">
      <c r="A105" s="32" t="n"/>
      <c r="B105" s="33" t="n"/>
      <c r="C105" s="32" t="n"/>
      <c r="D105" s="32" t="n"/>
      <c r="E105" s="34" t="n"/>
      <c r="F105" s="32" t="n"/>
      <c r="G105" s="32" t="n"/>
      <c r="H105" s="32" t="n"/>
      <c r="I105" s="34" t="n"/>
      <c r="J105" s="60" t="n"/>
      <c r="K105" s="60" t="n"/>
      <c r="L105" s="32" t="n"/>
      <c r="M105" s="32" t="n"/>
      <c r="N105" s="32" t="n"/>
      <c r="O105" s="34" t="n"/>
      <c r="P105" s="34" t="n"/>
      <c r="Q105" s="36" t="n"/>
      <c r="R105" s="36" t="n"/>
      <c r="S105" s="36">
        <f>IF($A105="","",IFERROR(SUM($Q105:$R105),0))</f>
        <v/>
      </c>
      <c r="T105" s="36" t="n"/>
      <c r="U105" s="61" t="n"/>
      <c r="V105" s="61">
        <f>IF($A105="","",IFERROR($S105*'Settings'!$B$5,0))</f>
        <v/>
      </c>
      <c r="W105" s="32" t="n"/>
      <c r="X105" s="38" t="n"/>
      <c r="Y105" s="61">
        <f>IF($A105="","",IF(OR($W105="",$W105="None"),0,IFERROR($X105*VLOOKUP($W105,'Settings'!$A$15:$B$114,2,FALSE),0)))</f>
        <v/>
      </c>
      <c r="Z105" s="61">
        <f>IF($A105="","",IFERROR(SUM($U105,$V105,$Y105),0))</f>
        <v/>
      </c>
      <c r="AA105" s="61" t="n"/>
      <c r="AB105" s="61">
        <f>IF($A105="","",IFERROR($T105*'Settings'!$B$4,0))</f>
        <v/>
      </c>
      <c r="AC105" s="61" t="n"/>
      <c r="AD105" s="61">
        <f>IF($A105="","",IFERROR(SUM($AA105,$AB105,$AC105),0))</f>
        <v/>
      </c>
      <c r="AE105" s="61">
        <f>IF($A105="","",IFERROR($Z105-$AD105,0))</f>
        <v/>
      </c>
      <c r="AF105" s="39">
        <f>IF($A105="","",IFERROR($AE105/$Z105,0))</f>
        <v/>
      </c>
      <c r="AG105" s="32" t="n"/>
      <c r="AH105" s="33" t="n"/>
      <c r="AI105" s="40">
        <f>IF($A105="","",IF($C105="Delivered",IFERROR(MAX(0,$AH105-$B105),0),IF($C105="Canceled",0,IFERROR(MAX(0,TODAY()-$B105),0))))</f>
        <v/>
      </c>
      <c r="AJ105" s="34" t="n"/>
    </row>
    <row r="106">
      <c r="A106" s="32" t="n"/>
      <c r="B106" s="33" t="n"/>
      <c r="C106" s="32" t="n"/>
      <c r="D106" s="32" t="n"/>
      <c r="E106" s="34" t="n"/>
      <c r="F106" s="32" t="n"/>
      <c r="G106" s="32" t="n"/>
      <c r="H106" s="32" t="n"/>
      <c r="I106" s="34" t="n"/>
      <c r="J106" s="60" t="n"/>
      <c r="K106" s="60" t="n"/>
      <c r="L106" s="32" t="n"/>
      <c r="M106" s="32" t="n"/>
      <c r="N106" s="32" t="n"/>
      <c r="O106" s="34" t="n"/>
      <c r="P106" s="34" t="n"/>
      <c r="Q106" s="36" t="n"/>
      <c r="R106" s="36" t="n"/>
      <c r="S106" s="36">
        <f>IF($A106="","",IFERROR(SUM($Q106:$R106),0))</f>
        <v/>
      </c>
      <c r="T106" s="36" t="n"/>
      <c r="U106" s="61" t="n"/>
      <c r="V106" s="61">
        <f>IF($A106="","",IFERROR($S106*'Settings'!$B$5,0))</f>
        <v/>
      </c>
      <c r="W106" s="32" t="n"/>
      <c r="X106" s="38" t="n"/>
      <c r="Y106" s="61">
        <f>IF($A106="","",IF(OR($W106="",$W106="None"),0,IFERROR($X106*VLOOKUP($W106,'Settings'!$A$15:$B$114,2,FALSE),0)))</f>
        <v/>
      </c>
      <c r="Z106" s="61">
        <f>IF($A106="","",IFERROR(SUM($U106,$V106,$Y106),0))</f>
        <v/>
      </c>
      <c r="AA106" s="61" t="n"/>
      <c r="AB106" s="61">
        <f>IF($A106="","",IFERROR($T106*'Settings'!$B$4,0))</f>
        <v/>
      </c>
      <c r="AC106" s="61" t="n"/>
      <c r="AD106" s="61">
        <f>IF($A106="","",IFERROR(SUM($AA106,$AB106,$AC106),0))</f>
        <v/>
      </c>
      <c r="AE106" s="61">
        <f>IF($A106="","",IFERROR($Z106-$AD106,0))</f>
        <v/>
      </c>
      <c r="AF106" s="39">
        <f>IF($A106="","",IFERROR($AE106/$Z106,0))</f>
        <v/>
      </c>
      <c r="AG106" s="32" t="n"/>
      <c r="AH106" s="33" t="n"/>
      <c r="AI106" s="40">
        <f>IF($A106="","",IF($C106="Delivered",IFERROR(MAX(0,$AH106-$B106),0),IF($C106="Canceled",0,IFERROR(MAX(0,TODAY()-$B106),0))))</f>
        <v/>
      </c>
      <c r="AJ106" s="34" t="n"/>
    </row>
    <row r="107">
      <c r="A107" s="32" t="n"/>
      <c r="B107" s="33" t="n"/>
      <c r="C107" s="32" t="n"/>
      <c r="D107" s="32" t="n"/>
      <c r="E107" s="34" t="n"/>
      <c r="F107" s="32" t="n"/>
      <c r="G107" s="32" t="n"/>
      <c r="H107" s="32" t="n"/>
      <c r="I107" s="34" t="n"/>
      <c r="J107" s="60" t="n"/>
      <c r="K107" s="60" t="n"/>
      <c r="L107" s="32" t="n"/>
      <c r="M107" s="32" t="n"/>
      <c r="N107" s="32" t="n"/>
      <c r="O107" s="34" t="n"/>
      <c r="P107" s="34" t="n"/>
      <c r="Q107" s="36" t="n"/>
      <c r="R107" s="36" t="n"/>
      <c r="S107" s="36">
        <f>IF($A107="","",IFERROR(SUM($Q107:$R107),0))</f>
        <v/>
      </c>
      <c r="T107" s="36" t="n"/>
      <c r="U107" s="61" t="n"/>
      <c r="V107" s="61">
        <f>IF($A107="","",IFERROR($S107*'Settings'!$B$5,0))</f>
        <v/>
      </c>
      <c r="W107" s="32" t="n"/>
      <c r="X107" s="38" t="n"/>
      <c r="Y107" s="61">
        <f>IF($A107="","",IF(OR($W107="",$W107="None"),0,IFERROR($X107*VLOOKUP($W107,'Settings'!$A$15:$B$114,2,FALSE),0)))</f>
        <v/>
      </c>
      <c r="Z107" s="61">
        <f>IF($A107="","",IFERROR(SUM($U107,$V107,$Y107),0))</f>
        <v/>
      </c>
      <c r="AA107" s="61" t="n"/>
      <c r="AB107" s="61">
        <f>IF($A107="","",IFERROR($T107*'Settings'!$B$4,0))</f>
        <v/>
      </c>
      <c r="AC107" s="61" t="n"/>
      <c r="AD107" s="61">
        <f>IF($A107="","",IFERROR(SUM($AA107,$AB107,$AC107),0))</f>
        <v/>
      </c>
      <c r="AE107" s="61">
        <f>IF($A107="","",IFERROR($Z107-$AD107,0))</f>
        <v/>
      </c>
      <c r="AF107" s="39">
        <f>IF($A107="","",IFERROR($AE107/$Z107,0))</f>
        <v/>
      </c>
      <c r="AG107" s="32" t="n"/>
      <c r="AH107" s="33" t="n"/>
      <c r="AI107" s="40">
        <f>IF($A107="","",IF($C107="Delivered",IFERROR(MAX(0,$AH107-$B107),0),IF($C107="Canceled",0,IFERROR(MAX(0,TODAY()-$B107),0))))</f>
        <v/>
      </c>
      <c r="AJ107" s="34" t="n"/>
    </row>
    <row r="108">
      <c r="A108" s="32" t="n"/>
      <c r="B108" s="33" t="n"/>
      <c r="C108" s="32" t="n"/>
      <c r="D108" s="32" t="n"/>
      <c r="E108" s="34" t="n"/>
      <c r="F108" s="32" t="n"/>
      <c r="G108" s="32" t="n"/>
      <c r="H108" s="32" t="n"/>
      <c r="I108" s="34" t="n"/>
      <c r="J108" s="60" t="n"/>
      <c r="K108" s="60" t="n"/>
      <c r="L108" s="32" t="n"/>
      <c r="M108" s="32" t="n"/>
      <c r="N108" s="32" t="n"/>
      <c r="O108" s="34" t="n"/>
      <c r="P108" s="34" t="n"/>
      <c r="Q108" s="36" t="n"/>
      <c r="R108" s="36" t="n"/>
      <c r="S108" s="36">
        <f>IF($A108="","",IFERROR(SUM($Q108:$R108),0))</f>
        <v/>
      </c>
      <c r="T108" s="36" t="n"/>
      <c r="U108" s="61" t="n"/>
      <c r="V108" s="61">
        <f>IF($A108="","",IFERROR($S108*'Settings'!$B$5,0))</f>
        <v/>
      </c>
      <c r="W108" s="32" t="n"/>
      <c r="X108" s="38" t="n"/>
      <c r="Y108" s="61">
        <f>IF($A108="","",IF(OR($W108="",$W108="None"),0,IFERROR($X108*VLOOKUP($W108,'Settings'!$A$15:$B$114,2,FALSE),0)))</f>
        <v/>
      </c>
      <c r="Z108" s="61">
        <f>IF($A108="","",IFERROR(SUM($U108,$V108,$Y108),0))</f>
        <v/>
      </c>
      <c r="AA108" s="61" t="n"/>
      <c r="AB108" s="61">
        <f>IF($A108="","",IFERROR($T108*'Settings'!$B$4,0))</f>
        <v/>
      </c>
      <c r="AC108" s="61" t="n"/>
      <c r="AD108" s="61">
        <f>IF($A108="","",IFERROR(SUM($AA108,$AB108,$AC108),0))</f>
        <v/>
      </c>
      <c r="AE108" s="61">
        <f>IF($A108="","",IFERROR($Z108-$AD108,0))</f>
        <v/>
      </c>
      <c r="AF108" s="39">
        <f>IF($A108="","",IFERROR($AE108/$Z108,0))</f>
        <v/>
      </c>
      <c r="AG108" s="32" t="n"/>
      <c r="AH108" s="33" t="n"/>
      <c r="AI108" s="40">
        <f>IF($A108="","",IF($C108="Delivered",IFERROR(MAX(0,$AH108-$B108),0),IF($C108="Canceled",0,IFERROR(MAX(0,TODAY()-$B108),0))))</f>
        <v/>
      </c>
      <c r="AJ108" s="34" t="n"/>
    </row>
    <row r="109">
      <c r="A109" s="32" t="n"/>
      <c r="B109" s="33" t="n"/>
      <c r="C109" s="32" t="n"/>
      <c r="D109" s="32" t="n"/>
      <c r="E109" s="34" t="n"/>
      <c r="F109" s="32" t="n"/>
      <c r="G109" s="32" t="n"/>
      <c r="H109" s="32" t="n"/>
      <c r="I109" s="34" t="n"/>
      <c r="J109" s="60" t="n"/>
      <c r="K109" s="60" t="n"/>
      <c r="L109" s="32" t="n"/>
      <c r="M109" s="32" t="n"/>
      <c r="N109" s="32" t="n"/>
      <c r="O109" s="34" t="n"/>
      <c r="P109" s="34" t="n"/>
      <c r="Q109" s="36" t="n"/>
      <c r="R109" s="36" t="n"/>
      <c r="S109" s="36">
        <f>IF($A109="","",IFERROR(SUM($Q109:$R109),0))</f>
        <v/>
      </c>
      <c r="T109" s="36" t="n"/>
      <c r="U109" s="61" t="n"/>
      <c r="V109" s="61">
        <f>IF($A109="","",IFERROR($S109*'Settings'!$B$5,0))</f>
        <v/>
      </c>
      <c r="W109" s="32" t="n"/>
      <c r="X109" s="38" t="n"/>
      <c r="Y109" s="61">
        <f>IF($A109="","",IF(OR($W109="",$W109="None"),0,IFERROR($X109*VLOOKUP($W109,'Settings'!$A$15:$B$114,2,FALSE),0)))</f>
        <v/>
      </c>
      <c r="Z109" s="61">
        <f>IF($A109="","",IFERROR(SUM($U109,$V109,$Y109),0))</f>
        <v/>
      </c>
      <c r="AA109" s="61" t="n"/>
      <c r="AB109" s="61">
        <f>IF($A109="","",IFERROR($T109*'Settings'!$B$4,0))</f>
        <v/>
      </c>
      <c r="AC109" s="61" t="n"/>
      <c r="AD109" s="61">
        <f>IF($A109="","",IFERROR(SUM($AA109,$AB109,$AC109),0))</f>
        <v/>
      </c>
      <c r="AE109" s="61">
        <f>IF($A109="","",IFERROR($Z109-$AD109,0))</f>
        <v/>
      </c>
      <c r="AF109" s="39">
        <f>IF($A109="","",IFERROR($AE109/$Z109,0))</f>
        <v/>
      </c>
      <c r="AG109" s="32" t="n"/>
      <c r="AH109" s="33" t="n"/>
      <c r="AI109" s="40">
        <f>IF($A109="","",IF($C109="Delivered",IFERROR(MAX(0,$AH109-$B109),0),IF($C109="Canceled",0,IFERROR(MAX(0,TODAY()-$B109),0))))</f>
        <v/>
      </c>
      <c r="AJ109" s="34" t="n"/>
    </row>
    <row r="110">
      <c r="A110" s="32" t="n"/>
      <c r="B110" s="33" t="n"/>
      <c r="C110" s="32" t="n"/>
      <c r="D110" s="32" t="n"/>
      <c r="E110" s="34" t="n"/>
      <c r="F110" s="32" t="n"/>
      <c r="G110" s="32" t="n"/>
      <c r="H110" s="32" t="n"/>
      <c r="I110" s="34" t="n"/>
      <c r="J110" s="60" t="n"/>
      <c r="K110" s="60" t="n"/>
      <c r="L110" s="32" t="n"/>
      <c r="M110" s="32" t="n"/>
      <c r="N110" s="32" t="n"/>
      <c r="O110" s="34" t="n"/>
      <c r="P110" s="34" t="n"/>
      <c r="Q110" s="36" t="n"/>
      <c r="R110" s="36" t="n"/>
      <c r="S110" s="36">
        <f>IF($A110="","",IFERROR(SUM($Q110:$R110),0))</f>
        <v/>
      </c>
      <c r="T110" s="36" t="n"/>
      <c r="U110" s="61" t="n"/>
      <c r="V110" s="61">
        <f>IF($A110="","",IFERROR($S110*'Settings'!$B$5,0))</f>
        <v/>
      </c>
      <c r="W110" s="32" t="n"/>
      <c r="X110" s="38" t="n"/>
      <c r="Y110" s="61">
        <f>IF($A110="","",IF(OR($W110="",$W110="None"),0,IFERROR($X110*VLOOKUP($W110,'Settings'!$A$15:$B$114,2,FALSE),0)))</f>
        <v/>
      </c>
      <c r="Z110" s="61">
        <f>IF($A110="","",IFERROR(SUM($U110,$V110,$Y110),0))</f>
        <v/>
      </c>
      <c r="AA110" s="61" t="n"/>
      <c r="AB110" s="61">
        <f>IF($A110="","",IFERROR($T110*'Settings'!$B$4,0))</f>
        <v/>
      </c>
      <c r="AC110" s="61" t="n"/>
      <c r="AD110" s="61">
        <f>IF($A110="","",IFERROR(SUM($AA110,$AB110,$AC110),0))</f>
        <v/>
      </c>
      <c r="AE110" s="61">
        <f>IF($A110="","",IFERROR($Z110-$AD110,0))</f>
        <v/>
      </c>
      <c r="AF110" s="39">
        <f>IF($A110="","",IFERROR($AE110/$Z110,0))</f>
        <v/>
      </c>
      <c r="AG110" s="32" t="n"/>
      <c r="AH110" s="33" t="n"/>
      <c r="AI110" s="40">
        <f>IF($A110="","",IF($C110="Delivered",IFERROR(MAX(0,$AH110-$B110),0),IF($C110="Canceled",0,IFERROR(MAX(0,TODAY()-$B110),0))))</f>
        <v/>
      </c>
      <c r="AJ110" s="34" t="n"/>
    </row>
    <row r="111">
      <c r="A111" s="32" t="n"/>
      <c r="B111" s="33" t="n"/>
      <c r="C111" s="32" t="n"/>
      <c r="D111" s="32" t="n"/>
      <c r="E111" s="34" t="n"/>
      <c r="F111" s="32" t="n"/>
      <c r="G111" s="32" t="n"/>
      <c r="H111" s="32" t="n"/>
      <c r="I111" s="34" t="n"/>
      <c r="J111" s="60" t="n"/>
      <c r="K111" s="60" t="n"/>
      <c r="L111" s="32" t="n"/>
      <c r="M111" s="32" t="n"/>
      <c r="N111" s="32" t="n"/>
      <c r="O111" s="34" t="n"/>
      <c r="P111" s="34" t="n"/>
      <c r="Q111" s="36" t="n"/>
      <c r="R111" s="36" t="n"/>
      <c r="S111" s="36">
        <f>IF($A111="","",IFERROR(SUM($Q111:$R111),0))</f>
        <v/>
      </c>
      <c r="T111" s="36" t="n"/>
      <c r="U111" s="61" t="n"/>
      <c r="V111" s="61">
        <f>IF($A111="","",IFERROR($S111*'Settings'!$B$5,0))</f>
        <v/>
      </c>
      <c r="W111" s="32" t="n"/>
      <c r="X111" s="38" t="n"/>
      <c r="Y111" s="61">
        <f>IF($A111="","",IF(OR($W111="",$W111="None"),0,IFERROR($X111*VLOOKUP($W111,'Settings'!$A$15:$B$114,2,FALSE),0)))</f>
        <v/>
      </c>
      <c r="Z111" s="61">
        <f>IF($A111="","",IFERROR(SUM($U111,$V111,$Y111),0))</f>
        <v/>
      </c>
      <c r="AA111" s="61" t="n"/>
      <c r="AB111" s="61">
        <f>IF($A111="","",IFERROR($T111*'Settings'!$B$4,0))</f>
        <v/>
      </c>
      <c r="AC111" s="61" t="n"/>
      <c r="AD111" s="61">
        <f>IF($A111="","",IFERROR(SUM($AA111,$AB111,$AC111),0))</f>
        <v/>
      </c>
      <c r="AE111" s="61">
        <f>IF($A111="","",IFERROR($Z111-$AD111,0))</f>
        <v/>
      </c>
      <c r="AF111" s="39">
        <f>IF($A111="","",IFERROR($AE111/$Z111,0))</f>
        <v/>
      </c>
      <c r="AG111" s="32" t="n"/>
      <c r="AH111" s="33" t="n"/>
      <c r="AI111" s="40">
        <f>IF($A111="","",IF($C111="Delivered",IFERROR(MAX(0,$AH111-$B111),0),IF($C111="Canceled",0,IFERROR(MAX(0,TODAY()-$B111),0))))</f>
        <v/>
      </c>
      <c r="AJ111" s="34" t="n"/>
    </row>
    <row r="112">
      <c r="A112" s="32" t="n"/>
      <c r="B112" s="33" t="n"/>
      <c r="C112" s="32" t="n"/>
      <c r="D112" s="32" t="n"/>
      <c r="E112" s="34" t="n"/>
      <c r="F112" s="32" t="n"/>
      <c r="G112" s="32" t="n"/>
      <c r="H112" s="32" t="n"/>
      <c r="I112" s="34" t="n"/>
      <c r="J112" s="60" t="n"/>
      <c r="K112" s="60" t="n"/>
      <c r="L112" s="32" t="n"/>
      <c r="M112" s="32" t="n"/>
      <c r="N112" s="32" t="n"/>
      <c r="O112" s="34" t="n"/>
      <c r="P112" s="34" t="n"/>
      <c r="Q112" s="36" t="n"/>
      <c r="R112" s="36" t="n"/>
      <c r="S112" s="36">
        <f>IF($A112="","",IFERROR(SUM($Q112:$R112),0))</f>
        <v/>
      </c>
      <c r="T112" s="36" t="n"/>
      <c r="U112" s="61" t="n"/>
      <c r="V112" s="61">
        <f>IF($A112="","",IFERROR($S112*'Settings'!$B$5,0))</f>
        <v/>
      </c>
      <c r="W112" s="32" t="n"/>
      <c r="X112" s="38" t="n"/>
      <c r="Y112" s="61">
        <f>IF($A112="","",IF(OR($W112="",$W112="None"),0,IFERROR($X112*VLOOKUP($W112,'Settings'!$A$15:$B$114,2,FALSE),0)))</f>
        <v/>
      </c>
      <c r="Z112" s="61">
        <f>IF($A112="","",IFERROR(SUM($U112,$V112,$Y112),0))</f>
        <v/>
      </c>
      <c r="AA112" s="61" t="n"/>
      <c r="AB112" s="61">
        <f>IF($A112="","",IFERROR($T112*'Settings'!$B$4,0))</f>
        <v/>
      </c>
      <c r="AC112" s="61" t="n"/>
      <c r="AD112" s="61">
        <f>IF($A112="","",IFERROR(SUM($AA112,$AB112,$AC112),0))</f>
        <v/>
      </c>
      <c r="AE112" s="61">
        <f>IF($A112="","",IFERROR($Z112-$AD112,0))</f>
        <v/>
      </c>
      <c r="AF112" s="39">
        <f>IF($A112="","",IFERROR($AE112/$Z112,0))</f>
        <v/>
      </c>
      <c r="AG112" s="32" t="n"/>
      <c r="AH112" s="33" t="n"/>
      <c r="AI112" s="40">
        <f>IF($A112="","",IF($C112="Delivered",IFERROR(MAX(0,$AH112-$B112),0),IF($C112="Canceled",0,IFERROR(MAX(0,TODAY()-$B112),0))))</f>
        <v/>
      </c>
      <c r="AJ112" s="34" t="n"/>
    </row>
    <row r="113">
      <c r="A113" s="32" t="n"/>
      <c r="B113" s="33" t="n"/>
      <c r="C113" s="32" t="n"/>
      <c r="D113" s="32" t="n"/>
      <c r="E113" s="34" t="n"/>
      <c r="F113" s="32" t="n"/>
      <c r="G113" s="32" t="n"/>
      <c r="H113" s="32" t="n"/>
      <c r="I113" s="34" t="n"/>
      <c r="J113" s="60" t="n"/>
      <c r="K113" s="60" t="n"/>
      <c r="L113" s="32" t="n"/>
      <c r="M113" s="32" t="n"/>
      <c r="N113" s="32" t="n"/>
      <c r="O113" s="34" t="n"/>
      <c r="P113" s="34" t="n"/>
      <c r="Q113" s="36" t="n"/>
      <c r="R113" s="36" t="n"/>
      <c r="S113" s="36">
        <f>IF($A113="","",IFERROR(SUM($Q113:$R113),0))</f>
        <v/>
      </c>
      <c r="T113" s="36" t="n"/>
      <c r="U113" s="61" t="n"/>
      <c r="V113" s="61">
        <f>IF($A113="","",IFERROR($S113*'Settings'!$B$5,0))</f>
        <v/>
      </c>
      <c r="W113" s="32" t="n"/>
      <c r="X113" s="38" t="n"/>
      <c r="Y113" s="61">
        <f>IF($A113="","",IF(OR($W113="",$W113="None"),0,IFERROR($X113*VLOOKUP($W113,'Settings'!$A$15:$B$114,2,FALSE),0)))</f>
        <v/>
      </c>
      <c r="Z113" s="61">
        <f>IF($A113="","",IFERROR(SUM($U113,$V113,$Y113),0))</f>
        <v/>
      </c>
      <c r="AA113" s="61" t="n"/>
      <c r="AB113" s="61">
        <f>IF($A113="","",IFERROR($T113*'Settings'!$B$4,0))</f>
        <v/>
      </c>
      <c r="AC113" s="61" t="n"/>
      <c r="AD113" s="61">
        <f>IF($A113="","",IFERROR(SUM($AA113,$AB113,$AC113),0))</f>
        <v/>
      </c>
      <c r="AE113" s="61">
        <f>IF($A113="","",IFERROR($Z113-$AD113,0))</f>
        <v/>
      </c>
      <c r="AF113" s="39">
        <f>IF($A113="","",IFERROR($AE113/$Z113,0))</f>
        <v/>
      </c>
      <c r="AG113" s="32" t="n"/>
      <c r="AH113" s="33" t="n"/>
      <c r="AI113" s="40">
        <f>IF($A113="","",IF($C113="Delivered",IFERROR(MAX(0,$AH113-$B113),0),IF($C113="Canceled",0,IFERROR(MAX(0,TODAY()-$B113),0))))</f>
        <v/>
      </c>
      <c r="AJ113" s="34" t="n"/>
    </row>
    <row r="114">
      <c r="A114" s="32" t="n"/>
      <c r="B114" s="33" t="n"/>
      <c r="C114" s="32" t="n"/>
      <c r="D114" s="32" t="n"/>
      <c r="E114" s="34" t="n"/>
      <c r="F114" s="32" t="n"/>
      <c r="G114" s="32" t="n"/>
      <c r="H114" s="32" t="n"/>
      <c r="I114" s="34" t="n"/>
      <c r="J114" s="60" t="n"/>
      <c r="K114" s="60" t="n"/>
      <c r="L114" s="32" t="n"/>
      <c r="M114" s="32" t="n"/>
      <c r="N114" s="32" t="n"/>
      <c r="O114" s="34" t="n"/>
      <c r="P114" s="34" t="n"/>
      <c r="Q114" s="36" t="n"/>
      <c r="R114" s="36" t="n"/>
      <c r="S114" s="36">
        <f>IF($A114="","",IFERROR(SUM($Q114:$R114),0))</f>
        <v/>
      </c>
      <c r="T114" s="36" t="n"/>
      <c r="U114" s="61" t="n"/>
      <c r="V114" s="61">
        <f>IF($A114="","",IFERROR($S114*'Settings'!$B$5,0))</f>
        <v/>
      </c>
      <c r="W114" s="32" t="n"/>
      <c r="X114" s="38" t="n"/>
      <c r="Y114" s="61">
        <f>IF($A114="","",IF(OR($W114="",$W114="None"),0,IFERROR($X114*VLOOKUP($W114,'Settings'!$A$15:$B$114,2,FALSE),0)))</f>
        <v/>
      </c>
      <c r="Z114" s="61">
        <f>IF($A114="","",IFERROR(SUM($U114,$V114,$Y114),0))</f>
        <v/>
      </c>
      <c r="AA114" s="61" t="n"/>
      <c r="AB114" s="61">
        <f>IF($A114="","",IFERROR($T114*'Settings'!$B$4,0))</f>
        <v/>
      </c>
      <c r="AC114" s="61" t="n"/>
      <c r="AD114" s="61">
        <f>IF($A114="","",IFERROR(SUM($AA114,$AB114,$AC114),0))</f>
        <v/>
      </c>
      <c r="AE114" s="61">
        <f>IF($A114="","",IFERROR($Z114-$AD114,0))</f>
        <v/>
      </c>
      <c r="AF114" s="39">
        <f>IF($A114="","",IFERROR($AE114/$Z114,0))</f>
        <v/>
      </c>
      <c r="AG114" s="32" t="n"/>
      <c r="AH114" s="33" t="n"/>
      <c r="AI114" s="40">
        <f>IF($A114="","",IF($C114="Delivered",IFERROR(MAX(0,$AH114-$B114),0),IF($C114="Canceled",0,IFERROR(MAX(0,TODAY()-$B114),0))))</f>
        <v/>
      </c>
      <c r="AJ114" s="34" t="n"/>
    </row>
    <row r="115">
      <c r="A115" s="32" t="n"/>
      <c r="B115" s="33" t="n"/>
      <c r="C115" s="32" t="n"/>
      <c r="D115" s="32" t="n"/>
      <c r="E115" s="34" t="n"/>
      <c r="F115" s="32" t="n"/>
      <c r="G115" s="32" t="n"/>
      <c r="H115" s="32" t="n"/>
      <c r="I115" s="34" t="n"/>
      <c r="J115" s="60" t="n"/>
      <c r="K115" s="60" t="n"/>
      <c r="L115" s="32" t="n"/>
      <c r="M115" s="32" t="n"/>
      <c r="N115" s="32" t="n"/>
      <c r="O115" s="34" t="n"/>
      <c r="P115" s="34" t="n"/>
      <c r="Q115" s="36" t="n"/>
      <c r="R115" s="36" t="n"/>
      <c r="S115" s="36">
        <f>IF($A115="","",IFERROR(SUM($Q115:$R115),0))</f>
        <v/>
      </c>
      <c r="T115" s="36" t="n"/>
      <c r="U115" s="61" t="n"/>
      <c r="V115" s="61">
        <f>IF($A115="","",IFERROR($S115*'Settings'!$B$5,0))</f>
        <v/>
      </c>
      <c r="W115" s="32" t="n"/>
      <c r="X115" s="38" t="n"/>
      <c r="Y115" s="61">
        <f>IF($A115="","",IF(OR($W115="",$W115="None"),0,IFERROR($X115*VLOOKUP($W115,'Settings'!$A$15:$B$114,2,FALSE),0)))</f>
        <v/>
      </c>
      <c r="Z115" s="61">
        <f>IF($A115="","",IFERROR(SUM($U115,$V115,$Y115),0))</f>
        <v/>
      </c>
      <c r="AA115" s="61" t="n"/>
      <c r="AB115" s="61">
        <f>IF($A115="","",IFERROR($T115*'Settings'!$B$4,0))</f>
        <v/>
      </c>
      <c r="AC115" s="61" t="n"/>
      <c r="AD115" s="61">
        <f>IF($A115="","",IFERROR(SUM($AA115,$AB115,$AC115),0))</f>
        <v/>
      </c>
      <c r="AE115" s="61">
        <f>IF($A115="","",IFERROR($Z115-$AD115,0))</f>
        <v/>
      </c>
      <c r="AF115" s="39">
        <f>IF($A115="","",IFERROR($AE115/$Z115,0))</f>
        <v/>
      </c>
      <c r="AG115" s="32" t="n"/>
      <c r="AH115" s="33" t="n"/>
      <c r="AI115" s="40">
        <f>IF($A115="","",IF($C115="Delivered",IFERROR(MAX(0,$AH115-$B115),0),IF($C115="Canceled",0,IFERROR(MAX(0,TODAY()-$B115),0))))</f>
        <v/>
      </c>
      <c r="AJ115" s="34" t="n"/>
    </row>
    <row r="116">
      <c r="A116" s="32" t="n"/>
      <c r="B116" s="33" t="n"/>
      <c r="C116" s="32" t="n"/>
      <c r="D116" s="32" t="n"/>
      <c r="E116" s="34" t="n"/>
      <c r="F116" s="32" t="n"/>
      <c r="G116" s="32" t="n"/>
      <c r="H116" s="32" t="n"/>
      <c r="I116" s="34" t="n"/>
      <c r="J116" s="60" t="n"/>
      <c r="K116" s="60" t="n"/>
      <c r="L116" s="32" t="n"/>
      <c r="M116" s="32" t="n"/>
      <c r="N116" s="32" t="n"/>
      <c r="O116" s="34" t="n"/>
      <c r="P116" s="34" t="n"/>
      <c r="Q116" s="36" t="n"/>
      <c r="R116" s="36" t="n"/>
      <c r="S116" s="36">
        <f>IF($A116="","",IFERROR(SUM($Q116:$R116),0))</f>
        <v/>
      </c>
      <c r="T116" s="36" t="n"/>
      <c r="U116" s="61" t="n"/>
      <c r="V116" s="61">
        <f>IF($A116="","",IFERROR($S116*'Settings'!$B$5,0))</f>
        <v/>
      </c>
      <c r="W116" s="32" t="n"/>
      <c r="X116" s="38" t="n"/>
      <c r="Y116" s="61">
        <f>IF($A116="","",IF(OR($W116="",$W116="None"),0,IFERROR($X116*VLOOKUP($W116,'Settings'!$A$15:$B$114,2,FALSE),0)))</f>
        <v/>
      </c>
      <c r="Z116" s="61">
        <f>IF($A116="","",IFERROR(SUM($U116,$V116,$Y116),0))</f>
        <v/>
      </c>
      <c r="AA116" s="61" t="n"/>
      <c r="AB116" s="61">
        <f>IF($A116="","",IFERROR($T116*'Settings'!$B$4,0))</f>
        <v/>
      </c>
      <c r="AC116" s="61" t="n"/>
      <c r="AD116" s="61">
        <f>IF($A116="","",IFERROR(SUM($AA116,$AB116,$AC116),0))</f>
        <v/>
      </c>
      <c r="AE116" s="61">
        <f>IF($A116="","",IFERROR($Z116-$AD116,0))</f>
        <v/>
      </c>
      <c r="AF116" s="39">
        <f>IF($A116="","",IFERROR($AE116/$Z116,0))</f>
        <v/>
      </c>
      <c r="AG116" s="32" t="n"/>
      <c r="AH116" s="33" t="n"/>
      <c r="AI116" s="40">
        <f>IF($A116="","",IF($C116="Delivered",IFERROR(MAX(0,$AH116-$B116),0),IF($C116="Canceled",0,IFERROR(MAX(0,TODAY()-$B116),0))))</f>
        <v/>
      </c>
      <c r="AJ116" s="34" t="n"/>
    </row>
    <row r="117">
      <c r="A117" s="32" t="n"/>
      <c r="B117" s="33" t="n"/>
      <c r="C117" s="32" t="n"/>
      <c r="D117" s="32" t="n"/>
      <c r="E117" s="34" t="n"/>
      <c r="F117" s="32" t="n"/>
      <c r="G117" s="32" t="n"/>
      <c r="H117" s="32" t="n"/>
      <c r="I117" s="34" t="n"/>
      <c r="J117" s="60" t="n"/>
      <c r="K117" s="60" t="n"/>
      <c r="L117" s="32" t="n"/>
      <c r="M117" s="32" t="n"/>
      <c r="N117" s="32" t="n"/>
      <c r="O117" s="34" t="n"/>
      <c r="P117" s="34" t="n"/>
      <c r="Q117" s="36" t="n"/>
      <c r="R117" s="36" t="n"/>
      <c r="S117" s="36">
        <f>IF($A117="","",IFERROR(SUM($Q117:$R117),0))</f>
        <v/>
      </c>
      <c r="T117" s="36" t="n"/>
      <c r="U117" s="61" t="n"/>
      <c r="V117" s="61">
        <f>IF($A117="","",IFERROR($S117*'Settings'!$B$5,0))</f>
        <v/>
      </c>
      <c r="W117" s="32" t="n"/>
      <c r="X117" s="38" t="n"/>
      <c r="Y117" s="61">
        <f>IF($A117="","",IF(OR($W117="",$W117="None"),0,IFERROR($X117*VLOOKUP($W117,'Settings'!$A$15:$B$114,2,FALSE),0)))</f>
        <v/>
      </c>
      <c r="Z117" s="61">
        <f>IF($A117="","",IFERROR(SUM($U117,$V117,$Y117),0))</f>
        <v/>
      </c>
      <c r="AA117" s="61" t="n"/>
      <c r="AB117" s="61">
        <f>IF($A117="","",IFERROR($T117*'Settings'!$B$4,0))</f>
        <v/>
      </c>
      <c r="AC117" s="61" t="n"/>
      <c r="AD117" s="61">
        <f>IF($A117="","",IFERROR(SUM($AA117,$AB117,$AC117),0))</f>
        <v/>
      </c>
      <c r="AE117" s="61">
        <f>IF($A117="","",IFERROR($Z117-$AD117,0))</f>
        <v/>
      </c>
      <c r="AF117" s="39">
        <f>IF($A117="","",IFERROR($AE117/$Z117,0))</f>
        <v/>
      </c>
      <c r="AG117" s="32" t="n"/>
      <c r="AH117" s="33" t="n"/>
      <c r="AI117" s="40">
        <f>IF($A117="","",IF($C117="Delivered",IFERROR(MAX(0,$AH117-$B117),0),IF($C117="Canceled",0,IFERROR(MAX(0,TODAY()-$B117),0))))</f>
        <v/>
      </c>
      <c r="AJ117" s="34" t="n"/>
    </row>
    <row r="118">
      <c r="A118" s="32" t="n"/>
      <c r="B118" s="33" t="n"/>
      <c r="C118" s="32" t="n"/>
      <c r="D118" s="32" t="n"/>
      <c r="E118" s="34" t="n"/>
      <c r="F118" s="32" t="n"/>
      <c r="G118" s="32" t="n"/>
      <c r="H118" s="32" t="n"/>
      <c r="I118" s="34" t="n"/>
      <c r="J118" s="60" t="n"/>
      <c r="K118" s="60" t="n"/>
      <c r="L118" s="32" t="n"/>
      <c r="M118" s="32" t="n"/>
      <c r="N118" s="32" t="n"/>
      <c r="O118" s="34" t="n"/>
      <c r="P118" s="34" t="n"/>
      <c r="Q118" s="36" t="n"/>
      <c r="R118" s="36" t="n"/>
      <c r="S118" s="36">
        <f>IF($A118="","",IFERROR(SUM($Q118:$R118),0))</f>
        <v/>
      </c>
      <c r="T118" s="36" t="n"/>
      <c r="U118" s="61" t="n"/>
      <c r="V118" s="61">
        <f>IF($A118="","",IFERROR($S118*'Settings'!$B$5,0))</f>
        <v/>
      </c>
      <c r="W118" s="32" t="n"/>
      <c r="X118" s="38" t="n"/>
      <c r="Y118" s="61">
        <f>IF($A118="","",IF(OR($W118="",$W118="None"),0,IFERROR($X118*VLOOKUP($W118,'Settings'!$A$15:$B$114,2,FALSE),0)))</f>
        <v/>
      </c>
      <c r="Z118" s="61">
        <f>IF($A118="","",IFERROR(SUM($U118,$V118,$Y118),0))</f>
        <v/>
      </c>
      <c r="AA118" s="61" t="n"/>
      <c r="AB118" s="61">
        <f>IF($A118="","",IFERROR($T118*'Settings'!$B$4,0))</f>
        <v/>
      </c>
      <c r="AC118" s="61" t="n"/>
      <c r="AD118" s="61">
        <f>IF($A118="","",IFERROR(SUM($AA118,$AB118,$AC118),0))</f>
        <v/>
      </c>
      <c r="AE118" s="61">
        <f>IF($A118="","",IFERROR($Z118-$AD118,0))</f>
        <v/>
      </c>
      <c r="AF118" s="39">
        <f>IF($A118="","",IFERROR($AE118/$Z118,0))</f>
        <v/>
      </c>
      <c r="AG118" s="32" t="n"/>
      <c r="AH118" s="33" t="n"/>
      <c r="AI118" s="40">
        <f>IF($A118="","",IF($C118="Delivered",IFERROR(MAX(0,$AH118-$B118),0),IF($C118="Canceled",0,IFERROR(MAX(0,TODAY()-$B118),0))))</f>
        <v/>
      </c>
      <c r="AJ118" s="34" t="n"/>
    </row>
    <row r="119">
      <c r="A119" s="32" t="n"/>
      <c r="B119" s="33" t="n"/>
      <c r="C119" s="32" t="n"/>
      <c r="D119" s="32" t="n"/>
      <c r="E119" s="34" t="n"/>
      <c r="F119" s="32" t="n"/>
      <c r="G119" s="32" t="n"/>
      <c r="H119" s="32" t="n"/>
      <c r="I119" s="34" t="n"/>
      <c r="J119" s="60" t="n"/>
      <c r="K119" s="60" t="n"/>
      <c r="L119" s="32" t="n"/>
      <c r="M119" s="32" t="n"/>
      <c r="N119" s="32" t="n"/>
      <c r="O119" s="34" t="n"/>
      <c r="P119" s="34" t="n"/>
      <c r="Q119" s="36" t="n"/>
      <c r="R119" s="36" t="n"/>
      <c r="S119" s="36">
        <f>IF($A119="","",IFERROR(SUM($Q119:$R119),0))</f>
        <v/>
      </c>
      <c r="T119" s="36" t="n"/>
      <c r="U119" s="61" t="n"/>
      <c r="V119" s="61">
        <f>IF($A119="","",IFERROR($S119*'Settings'!$B$5,0))</f>
        <v/>
      </c>
      <c r="W119" s="32" t="n"/>
      <c r="X119" s="38" t="n"/>
      <c r="Y119" s="61">
        <f>IF($A119="","",IF(OR($W119="",$W119="None"),0,IFERROR($X119*VLOOKUP($W119,'Settings'!$A$15:$B$114,2,FALSE),0)))</f>
        <v/>
      </c>
      <c r="Z119" s="61">
        <f>IF($A119="","",IFERROR(SUM($U119,$V119,$Y119),0))</f>
        <v/>
      </c>
      <c r="AA119" s="61" t="n"/>
      <c r="AB119" s="61">
        <f>IF($A119="","",IFERROR($T119*'Settings'!$B$4,0))</f>
        <v/>
      </c>
      <c r="AC119" s="61" t="n"/>
      <c r="AD119" s="61">
        <f>IF($A119="","",IFERROR(SUM($AA119,$AB119,$AC119),0))</f>
        <v/>
      </c>
      <c r="AE119" s="61">
        <f>IF($A119="","",IFERROR($Z119-$AD119,0))</f>
        <v/>
      </c>
      <c r="AF119" s="39">
        <f>IF($A119="","",IFERROR($AE119/$Z119,0))</f>
        <v/>
      </c>
      <c r="AG119" s="32" t="n"/>
      <c r="AH119" s="33" t="n"/>
      <c r="AI119" s="40">
        <f>IF($A119="","",IF($C119="Delivered",IFERROR(MAX(0,$AH119-$B119),0),IF($C119="Canceled",0,IFERROR(MAX(0,TODAY()-$B119),0))))</f>
        <v/>
      </c>
      <c r="AJ119" s="34" t="n"/>
    </row>
    <row r="120">
      <c r="A120" s="32" t="n"/>
      <c r="B120" s="33" t="n"/>
      <c r="C120" s="32" t="n"/>
      <c r="D120" s="32" t="n"/>
      <c r="E120" s="34" t="n"/>
      <c r="F120" s="32" t="n"/>
      <c r="G120" s="32" t="n"/>
      <c r="H120" s="32" t="n"/>
      <c r="I120" s="34" t="n"/>
      <c r="J120" s="60" t="n"/>
      <c r="K120" s="60" t="n"/>
      <c r="L120" s="32" t="n"/>
      <c r="M120" s="32" t="n"/>
      <c r="N120" s="32" t="n"/>
      <c r="O120" s="34" t="n"/>
      <c r="P120" s="34" t="n"/>
      <c r="Q120" s="36" t="n"/>
      <c r="R120" s="36" t="n"/>
      <c r="S120" s="36">
        <f>IF($A120="","",IFERROR(SUM($Q120:$R120),0))</f>
        <v/>
      </c>
      <c r="T120" s="36" t="n"/>
      <c r="U120" s="61" t="n"/>
      <c r="V120" s="61">
        <f>IF($A120="","",IFERROR($S120*'Settings'!$B$5,0))</f>
        <v/>
      </c>
      <c r="W120" s="32" t="n"/>
      <c r="X120" s="38" t="n"/>
      <c r="Y120" s="61">
        <f>IF($A120="","",IF(OR($W120="",$W120="None"),0,IFERROR($X120*VLOOKUP($W120,'Settings'!$A$15:$B$114,2,FALSE),0)))</f>
        <v/>
      </c>
      <c r="Z120" s="61">
        <f>IF($A120="","",IFERROR(SUM($U120,$V120,$Y120),0))</f>
        <v/>
      </c>
      <c r="AA120" s="61" t="n"/>
      <c r="AB120" s="61">
        <f>IF($A120="","",IFERROR($T120*'Settings'!$B$4,0))</f>
        <v/>
      </c>
      <c r="AC120" s="61" t="n"/>
      <c r="AD120" s="61">
        <f>IF($A120="","",IFERROR(SUM($AA120,$AB120,$AC120),0))</f>
        <v/>
      </c>
      <c r="AE120" s="61">
        <f>IF($A120="","",IFERROR($Z120-$AD120,0))</f>
        <v/>
      </c>
      <c r="AF120" s="39">
        <f>IF($A120="","",IFERROR($AE120/$Z120,0))</f>
        <v/>
      </c>
      <c r="AG120" s="32" t="n"/>
      <c r="AH120" s="33" t="n"/>
      <c r="AI120" s="40">
        <f>IF($A120="","",IF($C120="Delivered",IFERROR(MAX(0,$AH120-$B120),0),IF($C120="Canceled",0,IFERROR(MAX(0,TODAY()-$B120),0))))</f>
        <v/>
      </c>
      <c r="AJ120" s="34" t="n"/>
    </row>
    <row r="121">
      <c r="A121" s="32" t="n"/>
      <c r="B121" s="33" t="n"/>
      <c r="C121" s="32" t="n"/>
      <c r="D121" s="32" t="n"/>
      <c r="E121" s="34" t="n"/>
      <c r="F121" s="32" t="n"/>
      <c r="G121" s="32" t="n"/>
      <c r="H121" s="32" t="n"/>
      <c r="I121" s="34" t="n"/>
      <c r="J121" s="60" t="n"/>
      <c r="K121" s="60" t="n"/>
      <c r="L121" s="32" t="n"/>
      <c r="M121" s="32" t="n"/>
      <c r="N121" s="32" t="n"/>
      <c r="O121" s="34" t="n"/>
      <c r="P121" s="34" t="n"/>
      <c r="Q121" s="36" t="n"/>
      <c r="R121" s="36" t="n"/>
      <c r="S121" s="36">
        <f>IF($A121="","",IFERROR(SUM($Q121:$R121),0))</f>
        <v/>
      </c>
      <c r="T121" s="36" t="n"/>
      <c r="U121" s="61" t="n"/>
      <c r="V121" s="61">
        <f>IF($A121="","",IFERROR($S121*'Settings'!$B$5,0))</f>
        <v/>
      </c>
      <c r="W121" s="32" t="n"/>
      <c r="X121" s="38" t="n"/>
      <c r="Y121" s="61">
        <f>IF($A121="","",IF(OR($W121="",$W121="None"),0,IFERROR($X121*VLOOKUP($W121,'Settings'!$A$15:$B$114,2,FALSE),0)))</f>
        <v/>
      </c>
      <c r="Z121" s="61">
        <f>IF($A121="","",IFERROR(SUM($U121,$V121,$Y121),0))</f>
        <v/>
      </c>
      <c r="AA121" s="61" t="n"/>
      <c r="AB121" s="61">
        <f>IF($A121="","",IFERROR($T121*'Settings'!$B$4,0))</f>
        <v/>
      </c>
      <c r="AC121" s="61" t="n"/>
      <c r="AD121" s="61">
        <f>IF($A121="","",IFERROR(SUM($AA121,$AB121,$AC121),0))</f>
        <v/>
      </c>
      <c r="AE121" s="61">
        <f>IF($A121="","",IFERROR($Z121-$AD121,0))</f>
        <v/>
      </c>
      <c r="AF121" s="39">
        <f>IF($A121="","",IFERROR($AE121/$Z121,0))</f>
        <v/>
      </c>
      <c r="AG121" s="32" t="n"/>
      <c r="AH121" s="33" t="n"/>
      <c r="AI121" s="40">
        <f>IF($A121="","",IF($C121="Delivered",IFERROR(MAX(0,$AH121-$B121),0),IF($C121="Canceled",0,IFERROR(MAX(0,TODAY()-$B121),0))))</f>
        <v/>
      </c>
      <c r="AJ121" s="34" t="n"/>
    </row>
    <row r="122">
      <c r="A122" s="32" t="n"/>
      <c r="B122" s="33" t="n"/>
      <c r="C122" s="32" t="n"/>
      <c r="D122" s="32" t="n"/>
      <c r="E122" s="34" t="n"/>
      <c r="F122" s="32" t="n"/>
      <c r="G122" s="32" t="n"/>
      <c r="H122" s="32" t="n"/>
      <c r="I122" s="34" t="n"/>
      <c r="J122" s="60" t="n"/>
      <c r="K122" s="60" t="n"/>
      <c r="L122" s="32" t="n"/>
      <c r="M122" s="32" t="n"/>
      <c r="N122" s="32" t="n"/>
      <c r="O122" s="34" t="n"/>
      <c r="P122" s="34" t="n"/>
      <c r="Q122" s="36" t="n"/>
      <c r="R122" s="36" t="n"/>
      <c r="S122" s="36">
        <f>IF($A122="","",IFERROR(SUM($Q122:$R122),0))</f>
        <v/>
      </c>
      <c r="T122" s="36" t="n"/>
      <c r="U122" s="61" t="n"/>
      <c r="V122" s="61">
        <f>IF($A122="","",IFERROR($S122*'Settings'!$B$5,0))</f>
        <v/>
      </c>
      <c r="W122" s="32" t="n"/>
      <c r="X122" s="38" t="n"/>
      <c r="Y122" s="61">
        <f>IF($A122="","",IF(OR($W122="",$W122="None"),0,IFERROR($X122*VLOOKUP($W122,'Settings'!$A$15:$B$114,2,FALSE),0)))</f>
        <v/>
      </c>
      <c r="Z122" s="61">
        <f>IF($A122="","",IFERROR(SUM($U122,$V122,$Y122),0))</f>
        <v/>
      </c>
      <c r="AA122" s="61" t="n"/>
      <c r="AB122" s="61">
        <f>IF($A122="","",IFERROR($T122*'Settings'!$B$4,0))</f>
        <v/>
      </c>
      <c r="AC122" s="61" t="n"/>
      <c r="AD122" s="61">
        <f>IF($A122="","",IFERROR(SUM($AA122,$AB122,$AC122),0))</f>
        <v/>
      </c>
      <c r="AE122" s="61">
        <f>IF($A122="","",IFERROR($Z122-$AD122,0))</f>
        <v/>
      </c>
      <c r="AF122" s="39">
        <f>IF($A122="","",IFERROR($AE122/$Z122,0))</f>
        <v/>
      </c>
      <c r="AG122" s="32" t="n"/>
      <c r="AH122" s="33" t="n"/>
      <c r="AI122" s="40">
        <f>IF($A122="","",IF($C122="Delivered",IFERROR(MAX(0,$AH122-$B122),0),IF($C122="Canceled",0,IFERROR(MAX(0,TODAY()-$B122),0))))</f>
        <v/>
      </c>
      <c r="AJ122" s="34" t="n"/>
    </row>
    <row r="123">
      <c r="A123" s="32" t="n"/>
      <c r="B123" s="33" t="n"/>
      <c r="C123" s="32" t="n"/>
      <c r="D123" s="32" t="n"/>
      <c r="E123" s="34" t="n"/>
      <c r="F123" s="32" t="n"/>
      <c r="G123" s="32" t="n"/>
      <c r="H123" s="32" t="n"/>
      <c r="I123" s="34" t="n"/>
      <c r="J123" s="60" t="n"/>
      <c r="K123" s="60" t="n"/>
      <c r="L123" s="32" t="n"/>
      <c r="M123" s="32" t="n"/>
      <c r="N123" s="32" t="n"/>
      <c r="O123" s="34" t="n"/>
      <c r="P123" s="34" t="n"/>
      <c r="Q123" s="36" t="n"/>
      <c r="R123" s="36" t="n"/>
      <c r="S123" s="36">
        <f>IF($A123="","",IFERROR(SUM($Q123:$R123),0))</f>
        <v/>
      </c>
      <c r="T123" s="36" t="n"/>
      <c r="U123" s="61" t="n"/>
      <c r="V123" s="61">
        <f>IF($A123="","",IFERROR($S123*'Settings'!$B$5,0))</f>
        <v/>
      </c>
      <c r="W123" s="32" t="n"/>
      <c r="X123" s="38" t="n"/>
      <c r="Y123" s="61">
        <f>IF($A123="","",IF(OR($W123="",$W123="None"),0,IFERROR($X123*VLOOKUP($W123,'Settings'!$A$15:$B$114,2,FALSE),0)))</f>
        <v/>
      </c>
      <c r="Z123" s="61">
        <f>IF($A123="","",IFERROR(SUM($U123,$V123,$Y123),0))</f>
        <v/>
      </c>
      <c r="AA123" s="61" t="n"/>
      <c r="AB123" s="61">
        <f>IF($A123="","",IFERROR($T123*'Settings'!$B$4,0))</f>
        <v/>
      </c>
      <c r="AC123" s="61" t="n"/>
      <c r="AD123" s="61">
        <f>IF($A123="","",IFERROR(SUM($AA123,$AB123,$AC123),0))</f>
        <v/>
      </c>
      <c r="AE123" s="61">
        <f>IF($A123="","",IFERROR($Z123-$AD123,0))</f>
        <v/>
      </c>
      <c r="AF123" s="39">
        <f>IF($A123="","",IFERROR($AE123/$Z123,0))</f>
        <v/>
      </c>
      <c r="AG123" s="32" t="n"/>
      <c r="AH123" s="33" t="n"/>
      <c r="AI123" s="40">
        <f>IF($A123="","",IF($C123="Delivered",IFERROR(MAX(0,$AH123-$B123),0),IF($C123="Canceled",0,IFERROR(MAX(0,TODAY()-$B123),0))))</f>
        <v/>
      </c>
      <c r="AJ123" s="34" t="n"/>
    </row>
    <row r="124">
      <c r="A124" s="32" t="n"/>
      <c r="B124" s="33" t="n"/>
      <c r="C124" s="32" t="n"/>
      <c r="D124" s="32" t="n"/>
      <c r="E124" s="34" t="n"/>
      <c r="F124" s="32" t="n"/>
      <c r="G124" s="32" t="n"/>
      <c r="H124" s="32" t="n"/>
      <c r="I124" s="34" t="n"/>
      <c r="J124" s="60" t="n"/>
      <c r="K124" s="60" t="n"/>
      <c r="L124" s="32" t="n"/>
      <c r="M124" s="32" t="n"/>
      <c r="N124" s="32" t="n"/>
      <c r="O124" s="34" t="n"/>
      <c r="P124" s="34" t="n"/>
      <c r="Q124" s="36" t="n"/>
      <c r="R124" s="36" t="n"/>
      <c r="S124" s="36">
        <f>IF($A124="","",IFERROR(SUM($Q124:$R124),0))</f>
        <v/>
      </c>
      <c r="T124" s="36" t="n"/>
      <c r="U124" s="61" t="n"/>
      <c r="V124" s="61">
        <f>IF($A124="","",IFERROR($S124*'Settings'!$B$5,0))</f>
        <v/>
      </c>
      <c r="W124" s="32" t="n"/>
      <c r="X124" s="38" t="n"/>
      <c r="Y124" s="61">
        <f>IF($A124="","",IF(OR($W124="",$W124="None"),0,IFERROR($X124*VLOOKUP($W124,'Settings'!$A$15:$B$114,2,FALSE),0)))</f>
        <v/>
      </c>
      <c r="Z124" s="61">
        <f>IF($A124="","",IFERROR(SUM($U124,$V124,$Y124),0))</f>
        <v/>
      </c>
      <c r="AA124" s="61" t="n"/>
      <c r="AB124" s="61">
        <f>IF($A124="","",IFERROR($T124*'Settings'!$B$4,0))</f>
        <v/>
      </c>
      <c r="AC124" s="61" t="n"/>
      <c r="AD124" s="61">
        <f>IF($A124="","",IFERROR(SUM($AA124,$AB124,$AC124),0))</f>
        <v/>
      </c>
      <c r="AE124" s="61">
        <f>IF($A124="","",IFERROR($Z124-$AD124,0))</f>
        <v/>
      </c>
      <c r="AF124" s="39">
        <f>IF($A124="","",IFERROR($AE124/$Z124,0))</f>
        <v/>
      </c>
      <c r="AG124" s="32" t="n"/>
      <c r="AH124" s="33" t="n"/>
      <c r="AI124" s="40">
        <f>IF($A124="","",IF($C124="Delivered",IFERROR(MAX(0,$AH124-$B124),0),IF($C124="Canceled",0,IFERROR(MAX(0,TODAY()-$B124),0))))</f>
        <v/>
      </c>
      <c r="AJ124" s="34" t="n"/>
    </row>
    <row r="125">
      <c r="A125" s="32" t="n"/>
      <c r="B125" s="33" t="n"/>
      <c r="C125" s="32" t="n"/>
      <c r="D125" s="32" t="n"/>
      <c r="E125" s="34" t="n"/>
      <c r="F125" s="32" t="n"/>
      <c r="G125" s="32" t="n"/>
      <c r="H125" s="32" t="n"/>
      <c r="I125" s="34" t="n"/>
      <c r="J125" s="60" t="n"/>
      <c r="K125" s="60" t="n"/>
      <c r="L125" s="32" t="n"/>
      <c r="M125" s="32" t="n"/>
      <c r="N125" s="32" t="n"/>
      <c r="O125" s="34" t="n"/>
      <c r="P125" s="34" t="n"/>
      <c r="Q125" s="36" t="n"/>
      <c r="R125" s="36" t="n"/>
      <c r="S125" s="36">
        <f>IF($A125="","",IFERROR(SUM($Q125:$R125),0))</f>
        <v/>
      </c>
      <c r="T125" s="36" t="n"/>
      <c r="U125" s="61" t="n"/>
      <c r="V125" s="61">
        <f>IF($A125="","",IFERROR($S125*'Settings'!$B$5,0))</f>
        <v/>
      </c>
      <c r="W125" s="32" t="n"/>
      <c r="X125" s="38" t="n"/>
      <c r="Y125" s="61">
        <f>IF($A125="","",IF(OR($W125="",$W125="None"),0,IFERROR($X125*VLOOKUP($W125,'Settings'!$A$15:$B$114,2,FALSE),0)))</f>
        <v/>
      </c>
      <c r="Z125" s="61">
        <f>IF($A125="","",IFERROR(SUM($U125,$V125,$Y125),0))</f>
        <v/>
      </c>
      <c r="AA125" s="61" t="n"/>
      <c r="AB125" s="61">
        <f>IF($A125="","",IFERROR($T125*'Settings'!$B$4,0))</f>
        <v/>
      </c>
      <c r="AC125" s="61" t="n"/>
      <c r="AD125" s="61">
        <f>IF($A125="","",IFERROR(SUM($AA125,$AB125,$AC125),0))</f>
        <v/>
      </c>
      <c r="AE125" s="61">
        <f>IF($A125="","",IFERROR($Z125-$AD125,0))</f>
        <v/>
      </c>
      <c r="AF125" s="39">
        <f>IF($A125="","",IFERROR($AE125/$Z125,0))</f>
        <v/>
      </c>
      <c r="AG125" s="32" t="n"/>
      <c r="AH125" s="33" t="n"/>
      <c r="AI125" s="40">
        <f>IF($A125="","",IF($C125="Delivered",IFERROR(MAX(0,$AH125-$B125),0),IF($C125="Canceled",0,IFERROR(MAX(0,TODAY()-$B125),0))))</f>
        <v/>
      </c>
      <c r="AJ125" s="34" t="n"/>
    </row>
    <row r="126">
      <c r="A126" s="32" t="n"/>
      <c r="B126" s="33" t="n"/>
      <c r="C126" s="32" t="n"/>
      <c r="D126" s="32" t="n"/>
      <c r="E126" s="34" t="n"/>
      <c r="F126" s="32" t="n"/>
      <c r="G126" s="32" t="n"/>
      <c r="H126" s="32" t="n"/>
      <c r="I126" s="34" t="n"/>
      <c r="J126" s="60" t="n"/>
      <c r="K126" s="60" t="n"/>
      <c r="L126" s="32" t="n"/>
      <c r="M126" s="32" t="n"/>
      <c r="N126" s="32" t="n"/>
      <c r="O126" s="34" t="n"/>
      <c r="P126" s="34" t="n"/>
      <c r="Q126" s="36" t="n"/>
      <c r="R126" s="36" t="n"/>
      <c r="S126" s="36">
        <f>IF($A126="","",IFERROR(SUM($Q126:$R126),0))</f>
        <v/>
      </c>
      <c r="T126" s="36" t="n"/>
      <c r="U126" s="61" t="n"/>
      <c r="V126" s="61">
        <f>IF($A126="","",IFERROR($S126*'Settings'!$B$5,0))</f>
        <v/>
      </c>
      <c r="W126" s="32" t="n"/>
      <c r="X126" s="38" t="n"/>
      <c r="Y126" s="61">
        <f>IF($A126="","",IF(OR($W126="",$W126="None"),0,IFERROR($X126*VLOOKUP($W126,'Settings'!$A$15:$B$114,2,FALSE),0)))</f>
        <v/>
      </c>
      <c r="Z126" s="61">
        <f>IF($A126="","",IFERROR(SUM($U126,$V126,$Y126),0))</f>
        <v/>
      </c>
      <c r="AA126" s="61" t="n"/>
      <c r="AB126" s="61">
        <f>IF($A126="","",IFERROR($T126*'Settings'!$B$4,0))</f>
        <v/>
      </c>
      <c r="AC126" s="61" t="n"/>
      <c r="AD126" s="61">
        <f>IF($A126="","",IFERROR(SUM($AA126,$AB126,$AC126),0))</f>
        <v/>
      </c>
      <c r="AE126" s="61">
        <f>IF($A126="","",IFERROR($Z126-$AD126,0))</f>
        <v/>
      </c>
      <c r="AF126" s="39">
        <f>IF($A126="","",IFERROR($AE126/$Z126,0))</f>
        <v/>
      </c>
      <c r="AG126" s="32" t="n"/>
      <c r="AH126" s="33" t="n"/>
      <c r="AI126" s="40">
        <f>IF($A126="","",IF($C126="Delivered",IFERROR(MAX(0,$AH126-$B126),0),IF($C126="Canceled",0,IFERROR(MAX(0,TODAY()-$B126),0))))</f>
        <v/>
      </c>
      <c r="AJ126" s="34" t="n"/>
    </row>
    <row r="127">
      <c r="A127" s="32" t="n"/>
      <c r="B127" s="33" t="n"/>
      <c r="C127" s="32" t="n"/>
      <c r="D127" s="32" t="n"/>
      <c r="E127" s="34" t="n"/>
      <c r="F127" s="32" t="n"/>
      <c r="G127" s="32" t="n"/>
      <c r="H127" s="32" t="n"/>
      <c r="I127" s="34" t="n"/>
      <c r="J127" s="60" t="n"/>
      <c r="K127" s="60" t="n"/>
      <c r="L127" s="32" t="n"/>
      <c r="M127" s="32" t="n"/>
      <c r="N127" s="32" t="n"/>
      <c r="O127" s="34" t="n"/>
      <c r="P127" s="34" t="n"/>
      <c r="Q127" s="36" t="n"/>
      <c r="R127" s="36" t="n"/>
      <c r="S127" s="36">
        <f>IF($A127="","",IFERROR(SUM($Q127:$R127),0))</f>
        <v/>
      </c>
      <c r="T127" s="36" t="n"/>
      <c r="U127" s="61" t="n"/>
      <c r="V127" s="61">
        <f>IF($A127="","",IFERROR($S127*'Settings'!$B$5,0))</f>
        <v/>
      </c>
      <c r="W127" s="32" t="n"/>
      <c r="X127" s="38" t="n"/>
      <c r="Y127" s="61">
        <f>IF($A127="","",IF(OR($W127="",$W127="None"),0,IFERROR($X127*VLOOKUP($W127,'Settings'!$A$15:$B$114,2,FALSE),0)))</f>
        <v/>
      </c>
      <c r="Z127" s="61">
        <f>IF($A127="","",IFERROR(SUM($U127,$V127,$Y127),0))</f>
        <v/>
      </c>
      <c r="AA127" s="61" t="n"/>
      <c r="AB127" s="61">
        <f>IF($A127="","",IFERROR($T127*'Settings'!$B$4,0))</f>
        <v/>
      </c>
      <c r="AC127" s="61" t="n"/>
      <c r="AD127" s="61">
        <f>IF($A127="","",IFERROR(SUM($AA127,$AB127,$AC127),0))</f>
        <v/>
      </c>
      <c r="AE127" s="61">
        <f>IF($A127="","",IFERROR($Z127-$AD127,0))</f>
        <v/>
      </c>
      <c r="AF127" s="39">
        <f>IF($A127="","",IFERROR($AE127/$Z127,0))</f>
        <v/>
      </c>
      <c r="AG127" s="32" t="n"/>
      <c r="AH127" s="33" t="n"/>
      <c r="AI127" s="40">
        <f>IF($A127="","",IF($C127="Delivered",IFERROR(MAX(0,$AH127-$B127),0),IF($C127="Canceled",0,IFERROR(MAX(0,TODAY()-$B127),0))))</f>
        <v/>
      </c>
      <c r="AJ127" s="34" t="n"/>
    </row>
    <row r="128">
      <c r="A128" s="32" t="n"/>
      <c r="B128" s="33" t="n"/>
      <c r="C128" s="32" t="n"/>
      <c r="D128" s="32" t="n"/>
      <c r="E128" s="34" t="n"/>
      <c r="F128" s="32" t="n"/>
      <c r="G128" s="32" t="n"/>
      <c r="H128" s="32" t="n"/>
      <c r="I128" s="34" t="n"/>
      <c r="J128" s="60" t="n"/>
      <c r="K128" s="60" t="n"/>
      <c r="L128" s="32" t="n"/>
      <c r="M128" s="32" t="n"/>
      <c r="N128" s="32" t="n"/>
      <c r="O128" s="34" t="n"/>
      <c r="P128" s="34" t="n"/>
      <c r="Q128" s="36" t="n"/>
      <c r="R128" s="36" t="n"/>
      <c r="S128" s="36">
        <f>IF($A128="","",IFERROR(SUM($Q128:$R128),0))</f>
        <v/>
      </c>
      <c r="T128" s="36" t="n"/>
      <c r="U128" s="61" t="n"/>
      <c r="V128" s="61">
        <f>IF($A128="","",IFERROR($S128*'Settings'!$B$5,0))</f>
        <v/>
      </c>
      <c r="W128" s="32" t="n"/>
      <c r="X128" s="38" t="n"/>
      <c r="Y128" s="61">
        <f>IF($A128="","",IF(OR($W128="",$W128="None"),0,IFERROR($X128*VLOOKUP($W128,'Settings'!$A$15:$B$114,2,FALSE),0)))</f>
        <v/>
      </c>
      <c r="Z128" s="61">
        <f>IF($A128="","",IFERROR(SUM($U128,$V128,$Y128),0))</f>
        <v/>
      </c>
      <c r="AA128" s="61" t="n"/>
      <c r="AB128" s="61">
        <f>IF($A128="","",IFERROR($T128*'Settings'!$B$4,0))</f>
        <v/>
      </c>
      <c r="AC128" s="61" t="n"/>
      <c r="AD128" s="61">
        <f>IF($A128="","",IFERROR(SUM($AA128,$AB128,$AC128),0))</f>
        <v/>
      </c>
      <c r="AE128" s="61">
        <f>IF($A128="","",IFERROR($Z128-$AD128,0))</f>
        <v/>
      </c>
      <c r="AF128" s="39">
        <f>IF($A128="","",IFERROR($AE128/$Z128,0))</f>
        <v/>
      </c>
      <c r="AG128" s="32" t="n"/>
      <c r="AH128" s="33" t="n"/>
      <c r="AI128" s="40">
        <f>IF($A128="","",IF($C128="Delivered",IFERROR(MAX(0,$AH128-$B128),0),IF($C128="Canceled",0,IFERROR(MAX(0,TODAY()-$B128),0))))</f>
        <v/>
      </c>
      <c r="AJ128" s="34" t="n"/>
    </row>
    <row r="129">
      <c r="A129" s="32" t="n"/>
      <c r="B129" s="33" t="n"/>
      <c r="C129" s="32" t="n"/>
      <c r="D129" s="32" t="n"/>
      <c r="E129" s="34" t="n"/>
      <c r="F129" s="32" t="n"/>
      <c r="G129" s="32" t="n"/>
      <c r="H129" s="32" t="n"/>
      <c r="I129" s="34" t="n"/>
      <c r="J129" s="60" t="n"/>
      <c r="K129" s="60" t="n"/>
      <c r="L129" s="32" t="n"/>
      <c r="M129" s="32" t="n"/>
      <c r="N129" s="32" t="n"/>
      <c r="O129" s="34" t="n"/>
      <c r="P129" s="34" t="n"/>
      <c r="Q129" s="36" t="n"/>
      <c r="R129" s="36" t="n"/>
      <c r="S129" s="36">
        <f>IF($A129="","",IFERROR(SUM($Q129:$R129),0))</f>
        <v/>
      </c>
      <c r="T129" s="36" t="n"/>
      <c r="U129" s="61" t="n"/>
      <c r="V129" s="61">
        <f>IF($A129="","",IFERROR($S129*'Settings'!$B$5,0))</f>
        <v/>
      </c>
      <c r="W129" s="32" t="n"/>
      <c r="X129" s="38" t="n"/>
      <c r="Y129" s="61">
        <f>IF($A129="","",IF(OR($W129="",$W129="None"),0,IFERROR($X129*VLOOKUP($W129,'Settings'!$A$15:$B$114,2,FALSE),0)))</f>
        <v/>
      </c>
      <c r="Z129" s="61">
        <f>IF($A129="","",IFERROR(SUM($U129,$V129,$Y129),0))</f>
        <v/>
      </c>
      <c r="AA129" s="61" t="n"/>
      <c r="AB129" s="61">
        <f>IF($A129="","",IFERROR($T129*'Settings'!$B$4,0))</f>
        <v/>
      </c>
      <c r="AC129" s="61" t="n"/>
      <c r="AD129" s="61">
        <f>IF($A129="","",IFERROR(SUM($AA129,$AB129,$AC129),0))</f>
        <v/>
      </c>
      <c r="AE129" s="61">
        <f>IF($A129="","",IFERROR($Z129-$AD129,0))</f>
        <v/>
      </c>
      <c r="AF129" s="39">
        <f>IF($A129="","",IFERROR($AE129/$Z129,0))</f>
        <v/>
      </c>
      <c r="AG129" s="32" t="n"/>
      <c r="AH129" s="33" t="n"/>
      <c r="AI129" s="40">
        <f>IF($A129="","",IF($C129="Delivered",IFERROR(MAX(0,$AH129-$B129),0),IF($C129="Canceled",0,IFERROR(MAX(0,TODAY()-$B129),0))))</f>
        <v/>
      </c>
      <c r="AJ129" s="34" t="n"/>
    </row>
    <row r="130">
      <c r="A130" s="32" t="n"/>
      <c r="B130" s="33" t="n"/>
      <c r="C130" s="32" t="n"/>
      <c r="D130" s="32" t="n"/>
      <c r="E130" s="34" t="n"/>
      <c r="F130" s="32" t="n"/>
      <c r="G130" s="32" t="n"/>
      <c r="H130" s="32" t="n"/>
      <c r="I130" s="34" t="n"/>
      <c r="J130" s="60" t="n"/>
      <c r="K130" s="60" t="n"/>
      <c r="L130" s="32" t="n"/>
      <c r="M130" s="32" t="n"/>
      <c r="N130" s="32" t="n"/>
      <c r="O130" s="34" t="n"/>
      <c r="P130" s="34" t="n"/>
      <c r="Q130" s="36" t="n"/>
      <c r="R130" s="36" t="n"/>
      <c r="S130" s="36">
        <f>IF($A130="","",IFERROR(SUM($Q130:$R130),0))</f>
        <v/>
      </c>
      <c r="T130" s="36" t="n"/>
      <c r="U130" s="61" t="n"/>
      <c r="V130" s="61">
        <f>IF($A130="","",IFERROR($S130*'Settings'!$B$5,0))</f>
        <v/>
      </c>
      <c r="W130" s="32" t="n"/>
      <c r="X130" s="38" t="n"/>
      <c r="Y130" s="61">
        <f>IF($A130="","",IF(OR($W130="",$W130="None"),0,IFERROR($X130*VLOOKUP($W130,'Settings'!$A$15:$B$114,2,FALSE),0)))</f>
        <v/>
      </c>
      <c r="Z130" s="61">
        <f>IF($A130="","",IFERROR(SUM($U130,$V130,$Y130),0))</f>
        <v/>
      </c>
      <c r="AA130" s="61" t="n"/>
      <c r="AB130" s="61">
        <f>IF($A130="","",IFERROR($T130*'Settings'!$B$4,0))</f>
        <v/>
      </c>
      <c r="AC130" s="61" t="n"/>
      <c r="AD130" s="61">
        <f>IF($A130="","",IFERROR(SUM($AA130,$AB130,$AC130),0))</f>
        <v/>
      </c>
      <c r="AE130" s="61">
        <f>IF($A130="","",IFERROR($Z130-$AD130,0))</f>
        <v/>
      </c>
      <c r="AF130" s="39">
        <f>IF($A130="","",IFERROR($AE130/$Z130,0))</f>
        <v/>
      </c>
      <c r="AG130" s="32" t="n"/>
      <c r="AH130" s="33" t="n"/>
      <c r="AI130" s="40">
        <f>IF($A130="","",IF($C130="Delivered",IFERROR(MAX(0,$AH130-$B130),0),IF($C130="Canceled",0,IFERROR(MAX(0,TODAY()-$B130),0))))</f>
        <v/>
      </c>
      <c r="AJ130" s="34" t="n"/>
    </row>
    <row r="131">
      <c r="A131" s="32" t="n"/>
      <c r="B131" s="33" t="n"/>
      <c r="C131" s="32" t="n"/>
      <c r="D131" s="32" t="n"/>
      <c r="E131" s="34" t="n"/>
      <c r="F131" s="32" t="n"/>
      <c r="G131" s="32" t="n"/>
      <c r="H131" s="32" t="n"/>
      <c r="I131" s="34" t="n"/>
      <c r="J131" s="60" t="n"/>
      <c r="K131" s="60" t="n"/>
      <c r="L131" s="32" t="n"/>
      <c r="M131" s="32" t="n"/>
      <c r="N131" s="32" t="n"/>
      <c r="O131" s="34" t="n"/>
      <c r="P131" s="34" t="n"/>
      <c r="Q131" s="36" t="n"/>
      <c r="R131" s="36" t="n"/>
      <c r="S131" s="36">
        <f>IF($A131="","",IFERROR(SUM($Q131:$R131),0))</f>
        <v/>
      </c>
      <c r="T131" s="36" t="n"/>
      <c r="U131" s="61" t="n"/>
      <c r="V131" s="61">
        <f>IF($A131="","",IFERROR($S131*'Settings'!$B$5,0))</f>
        <v/>
      </c>
      <c r="W131" s="32" t="n"/>
      <c r="X131" s="38" t="n"/>
      <c r="Y131" s="61">
        <f>IF($A131="","",IF(OR($W131="",$W131="None"),0,IFERROR($X131*VLOOKUP($W131,'Settings'!$A$15:$B$114,2,FALSE),0)))</f>
        <v/>
      </c>
      <c r="Z131" s="61">
        <f>IF($A131="","",IFERROR(SUM($U131,$V131,$Y131),0))</f>
        <v/>
      </c>
      <c r="AA131" s="61" t="n"/>
      <c r="AB131" s="61">
        <f>IF($A131="","",IFERROR($T131*'Settings'!$B$4,0))</f>
        <v/>
      </c>
      <c r="AC131" s="61" t="n"/>
      <c r="AD131" s="61">
        <f>IF($A131="","",IFERROR(SUM($AA131,$AB131,$AC131),0))</f>
        <v/>
      </c>
      <c r="AE131" s="61">
        <f>IF($A131="","",IFERROR($Z131-$AD131,0))</f>
        <v/>
      </c>
      <c r="AF131" s="39">
        <f>IF($A131="","",IFERROR($AE131/$Z131,0))</f>
        <v/>
      </c>
      <c r="AG131" s="32" t="n"/>
      <c r="AH131" s="33" t="n"/>
      <c r="AI131" s="40">
        <f>IF($A131="","",IF($C131="Delivered",IFERROR(MAX(0,$AH131-$B131),0),IF($C131="Canceled",0,IFERROR(MAX(0,TODAY()-$B131),0))))</f>
        <v/>
      </c>
      <c r="AJ131" s="34" t="n"/>
    </row>
    <row r="132">
      <c r="A132" s="32" t="n"/>
      <c r="B132" s="33" t="n"/>
      <c r="C132" s="32" t="n"/>
      <c r="D132" s="32" t="n"/>
      <c r="E132" s="34" t="n"/>
      <c r="F132" s="32" t="n"/>
      <c r="G132" s="32" t="n"/>
      <c r="H132" s="32" t="n"/>
      <c r="I132" s="34" t="n"/>
      <c r="J132" s="60" t="n"/>
      <c r="K132" s="60" t="n"/>
      <c r="L132" s="32" t="n"/>
      <c r="M132" s="32" t="n"/>
      <c r="N132" s="32" t="n"/>
      <c r="O132" s="34" t="n"/>
      <c r="P132" s="34" t="n"/>
      <c r="Q132" s="36" t="n"/>
      <c r="R132" s="36" t="n"/>
      <c r="S132" s="36">
        <f>IF($A132="","",IFERROR(SUM($Q132:$R132),0))</f>
        <v/>
      </c>
      <c r="T132" s="36" t="n"/>
      <c r="U132" s="61" t="n"/>
      <c r="V132" s="61">
        <f>IF($A132="","",IFERROR($S132*'Settings'!$B$5,0))</f>
        <v/>
      </c>
      <c r="W132" s="32" t="n"/>
      <c r="X132" s="38" t="n"/>
      <c r="Y132" s="61">
        <f>IF($A132="","",IF(OR($W132="",$W132="None"),0,IFERROR($X132*VLOOKUP($W132,'Settings'!$A$15:$B$114,2,FALSE),0)))</f>
        <v/>
      </c>
      <c r="Z132" s="61">
        <f>IF($A132="","",IFERROR(SUM($U132,$V132,$Y132),0))</f>
        <v/>
      </c>
      <c r="AA132" s="61" t="n"/>
      <c r="AB132" s="61">
        <f>IF($A132="","",IFERROR($T132*'Settings'!$B$4,0))</f>
        <v/>
      </c>
      <c r="AC132" s="61" t="n"/>
      <c r="AD132" s="61">
        <f>IF($A132="","",IFERROR(SUM($AA132,$AB132,$AC132),0))</f>
        <v/>
      </c>
      <c r="AE132" s="61">
        <f>IF($A132="","",IFERROR($Z132-$AD132,0))</f>
        <v/>
      </c>
      <c r="AF132" s="39">
        <f>IF($A132="","",IFERROR($AE132/$Z132,0))</f>
        <v/>
      </c>
      <c r="AG132" s="32" t="n"/>
      <c r="AH132" s="33" t="n"/>
      <c r="AI132" s="40">
        <f>IF($A132="","",IF($C132="Delivered",IFERROR(MAX(0,$AH132-$B132),0),IF($C132="Canceled",0,IFERROR(MAX(0,TODAY()-$B132),0))))</f>
        <v/>
      </c>
      <c r="AJ132" s="34" t="n"/>
    </row>
    <row r="133">
      <c r="A133" s="32" t="n"/>
      <c r="B133" s="33" t="n"/>
      <c r="C133" s="32" t="n"/>
      <c r="D133" s="32" t="n"/>
      <c r="E133" s="34" t="n"/>
      <c r="F133" s="32" t="n"/>
      <c r="G133" s="32" t="n"/>
      <c r="H133" s="32" t="n"/>
      <c r="I133" s="34" t="n"/>
      <c r="J133" s="60" t="n"/>
      <c r="K133" s="60" t="n"/>
      <c r="L133" s="32" t="n"/>
      <c r="M133" s="32" t="n"/>
      <c r="N133" s="32" t="n"/>
      <c r="O133" s="34" t="n"/>
      <c r="P133" s="34" t="n"/>
      <c r="Q133" s="36" t="n"/>
      <c r="R133" s="36" t="n"/>
      <c r="S133" s="36">
        <f>IF($A133="","",IFERROR(SUM($Q133:$R133),0))</f>
        <v/>
      </c>
      <c r="T133" s="36" t="n"/>
      <c r="U133" s="61" t="n"/>
      <c r="V133" s="61">
        <f>IF($A133="","",IFERROR($S133*'Settings'!$B$5,0))</f>
        <v/>
      </c>
      <c r="W133" s="32" t="n"/>
      <c r="X133" s="38" t="n"/>
      <c r="Y133" s="61">
        <f>IF($A133="","",IF(OR($W133="",$W133="None"),0,IFERROR($X133*VLOOKUP($W133,'Settings'!$A$15:$B$114,2,FALSE),0)))</f>
        <v/>
      </c>
      <c r="Z133" s="61">
        <f>IF($A133="","",IFERROR(SUM($U133,$V133,$Y133),0))</f>
        <v/>
      </c>
      <c r="AA133" s="61" t="n"/>
      <c r="AB133" s="61">
        <f>IF($A133="","",IFERROR($T133*'Settings'!$B$4,0))</f>
        <v/>
      </c>
      <c r="AC133" s="61" t="n"/>
      <c r="AD133" s="61">
        <f>IF($A133="","",IFERROR(SUM($AA133,$AB133,$AC133),0))</f>
        <v/>
      </c>
      <c r="AE133" s="61">
        <f>IF($A133="","",IFERROR($Z133-$AD133,0))</f>
        <v/>
      </c>
      <c r="AF133" s="39">
        <f>IF($A133="","",IFERROR($AE133/$Z133,0))</f>
        <v/>
      </c>
      <c r="AG133" s="32" t="n"/>
      <c r="AH133" s="33" t="n"/>
      <c r="AI133" s="40">
        <f>IF($A133="","",IF($C133="Delivered",IFERROR(MAX(0,$AH133-$B133),0),IF($C133="Canceled",0,IFERROR(MAX(0,TODAY()-$B133),0))))</f>
        <v/>
      </c>
      <c r="AJ133" s="34" t="n"/>
    </row>
    <row r="134">
      <c r="A134" s="32" t="n"/>
      <c r="B134" s="33" t="n"/>
      <c r="C134" s="32" t="n"/>
      <c r="D134" s="32" t="n"/>
      <c r="E134" s="34" t="n"/>
      <c r="F134" s="32" t="n"/>
      <c r="G134" s="32" t="n"/>
      <c r="H134" s="32" t="n"/>
      <c r="I134" s="34" t="n"/>
      <c r="J134" s="60" t="n"/>
      <c r="K134" s="60" t="n"/>
      <c r="L134" s="32" t="n"/>
      <c r="M134" s="32" t="n"/>
      <c r="N134" s="32" t="n"/>
      <c r="O134" s="34" t="n"/>
      <c r="P134" s="34" t="n"/>
      <c r="Q134" s="36" t="n"/>
      <c r="R134" s="36" t="n"/>
      <c r="S134" s="36">
        <f>IF($A134="","",IFERROR(SUM($Q134:$R134),0))</f>
        <v/>
      </c>
      <c r="T134" s="36" t="n"/>
      <c r="U134" s="61" t="n"/>
      <c r="V134" s="61">
        <f>IF($A134="","",IFERROR($S134*'Settings'!$B$5,0))</f>
        <v/>
      </c>
      <c r="W134" s="32" t="n"/>
      <c r="X134" s="38" t="n"/>
      <c r="Y134" s="61">
        <f>IF($A134="","",IF(OR($W134="",$W134="None"),0,IFERROR($X134*VLOOKUP($W134,'Settings'!$A$15:$B$114,2,FALSE),0)))</f>
        <v/>
      </c>
      <c r="Z134" s="61">
        <f>IF($A134="","",IFERROR(SUM($U134,$V134,$Y134),0))</f>
        <v/>
      </c>
      <c r="AA134" s="61" t="n"/>
      <c r="AB134" s="61">
        <f>IF($A134="","",IFERROR($T134*'Settings'!$B$4,0))</f>
        <v/>
      </c>
      <c r="AC134" s="61" t="n"/>
      <c r="AD134" s="61">
        <f>IF($A134="","",IFERROR(SUM($AA134,$AB134,$AC134),0))</f>
        <v/>
      </c>
      <c r="AE134" s="61">
        <f>IF($A134="","",IFERROR($Z134-$AD134,0))</f>
        <v/>
      </c>
      <c r="AF134" s="39">
        <f>IF($A134="","",IFERROR($AE134/$Z134,0))</f>
        <v/>
      </c>
      <c r="AG134" s="32" t="n"/>
      <c r="AH134" s="33" t="n"/>
      <c r="AI134" s="40">
        <f>IF($A134="","",IF($C134="Delivered",IFERROR(MAX(0,$AH134-$B134),0),IF($C134="Canceled",0,IFERROR(MAX(0,TODAY()-$B134),0))))</f>
        <v/>
      </c>
      <c r="AJ134" s="34" t="n"/>
    </row>
    <row r="135">
      <c r="A135" s="32" t="n"/>
      <c r="B135" s="33" t="n"/>
      <c r="C135" s="32" t="n"/>
      <c r="D135" s="32" t="n"/>
      <c r="E135" s="34" t="n"/>
      <c r="F135" s="32" t="n"/>
      <c r="G135" s="32" t="n"/>
      <c r="H135" s="32" t="n"/>
      <c r="I135" s="34" t="n"/>
      <c r="J135" s="60" t="n"/>
      <c r="K135" s="60" t="n"/>
      <c r="L135" s="32" t="n"/>
      <c r="M135" s="32" t="n"/>
      <c r="N135" s="32" t="n"/>
      <c r="O135" s="34" t="n"/>
      <c r="P135" s="34" t="n"/>
      <c r="Q135" s="36" t="n"/>
      <c r="R135" s="36" t="n"/>
      <c r="S135" s="36">
        <f>IF($A135="","",IFERROR(SUM($Q135:$R135),0))</f>
        <v/>
      </c>
      <c r="T135" s="36" t="n"/>
      <c r="U135" s="61" t="n"/>
      <c r="V135" s="61">
        <f>IF($A135="","",IFERROR($S135*'Settings'!$B$5,0))</f>
        <v/>
      </c>
      <c r="W135" s="32" t="n"/>
      <c r="X135" s="38" t="n"/>
      <c r="Y135" s="61">
        <f>IF($A135="","",IF(OR($W135="",$W135="None"),0,IFERROR($X135*VLOOKUP($W135,'Settings'!$A$15:$B$114,2,FALSE),0)))</f>
        <v/>
      </c>
      <c r="Z135" s="61">
        <f>IF($A135="","",IFERROR(SUM($U135,$V135,$Y135),0))</f>
        <v/>
      </c>
      <c r="AA135" s="61" t="n"/>
      <c r="AB135" s="61">
        <f>IF($A135="","",IFERROR($T135*'Settings'!$B$4,0))</f>
        <v/>
      </c>
      <c r="AC135" s="61" t="n"/>
      <c r="AD135" s="61">
        <f>IF($A135="","",IFERROR(SUM($AA135,$AB135,$AC135),0))</f>
        <v/>
      </c>
      <c r="AE135" s="61">
        <f>IF($A135="","",IFERROR($Z135-$AD135,0))</f>
        <v/>
      </c>
      <c r="AF135" s="39">
        <f>IF($A135="","",IFERROR($AE135/$Z135,0))</f>
        <v/>
      </c>
      <c r="AG135" s="32" t="n"/>
      <c r="AH135" s="33" t="n"/>
      <c r="AI135" s="40">
        <f>IF($A135="","",IF($C135="Delivered",IFERROR(MAX(0,$AH135-$B135),0),IF($C135="Canceled",0,IFERROR(MAX(0,TODAY()-$B135),0))))</f>
        <v/>
      </c>
      <c r="AJ135" s="34" t="n"/>
    </row>
    <row r="136">
      <c r="A136" s="32" t="n"/>
      <c r="B136" s="33" t="n"/>
      <c r="C136" s="32" t="n"/>
      <c r="D136" s="32" t="n"/>
      <c r="E136" s="34" t="n"/>
      <c r="F136" s="32" t="n"/>
      <c r="G136" s="32" t="n"/>
      <c r="H136" s="32" t="n"/>
      <c r="I136" s="34" t="n"/>
      <c r="J136" s="60" t="n"/>
      <c r="K136" s="60" t="n"/>
      <c r="L136" s="32" t="n"/>
      <c r="M136" s="32" t="n"/>
      <c r="N136" s="32" t="n"/>
      <c r="O136" s="34" t="n"/>
      <c r="P136" s="34" t="n"/>
      <c r="Q136" s="36" t="n"/>
      <c r="R136" s="36" t="n"/>
      <c r="S136" s="36">
        <f>IF($A136="","",IFERROR(SUM($Q136:$R136),0))</f>
        <v/>
      </c>
      <c r="T136" s="36" t="n"/>
      <c r="U136" s="61" t="n"/>
      <c r="V136" s="61">
        <f>IF($A136="","",IFERROR($S136*'Settings'!$B$5,0))</f>
        <v/>
      </c>
      <c r="W136" s="32" t="n"/>
      <c r="X136" s="38" t="n"/>
      <c r="Y136" s="61">
        <f>IF($A136="","",IF(OR($W136="",$W136="None"),0,IFERROR($X136*VLOOKUP($W136,'Settings'!$A$15:$B$114,2,FALSE),0)))</f>
        <v/>
      </c>
      <c r="Z136" s="61">
        <f>IF($A136="","",IFERROR(SUM($U136,$V136,$Y136),0))</f>
        <v/>
      </c>
      <c r="AA136" s="61" t="n"/>
      <c r="AB136" s="61">
        <f>IF($A136="","",IFERROR($T136*'Settings'!$B$4,0))</f>
        <v/>
      </c>
      <c r="AC136" s="61" t="n"/>
      <c r="AD136" s="61">
        <f>IF($A136="","",IFERROR(SUM($AA136,$AB136,$AC136),0))</f>
        <v/>
      </c>
      <c r="AE136" s="61">
        <f>IF($A136="","",IFERROR($Z136-$AD136,0))</f>
        <v/>
      </c>
      <c r="AF136" s="39">
        <f>IF($A136="","",IFERROR($AE136/$Z136,0))</f>
        <v/>
      </c>
      <c r="AG136" s="32" t="n"/>
      <c r="AH136" s="33" t="n"/>
      <c r="AI136" s="40">
        <f>IF($A136="","",IF($C136="Delivered",IFERROR(MAX(0,$AH136-$B136),0),IF($C136="Canceled",0,IFERROR(MAX(0,TODAY()-$B136),0))))</f>
        <v/>
      </c>
      <c r="AJ136" s="34" t="n"/>
    </row>
    <row r="137">
      <c r="A137" s="32" t="n"/>
      <c r="B137" s="33" t="n"/>
      <c r="C137" s="32" t="n"/>
      <c r="D137" s="32" t="n"/>
      <c r="E137" s="34" t="n"/>
      <c r="F137" s="32" t="n"/>
      <c r="G137" s="32" t="n"/>
      <c r="H137" s="32" t="n"/>
      <c r="I137" s="34" t="n"/>
      <c r="J137" s="60" t="n"/>
      <c r="K137" s="60" t="n"/>
      <c r="L137" s="32" t="n"/>
      <c r="M137" s="32" t="n"/>
      <c r="N137" s="32" t="n"/>
      <c r="O137" s="34" t="n"/>
      <c r="P137" s="34" t="n"/>
      <c r="Q137" s="36" t="n"/>
      <c r="R137" s="36" t="n"/>
      <c r="S137" s="36">
        <f>IF($A137="","",IFERROR(SUM($Q137:$R137),0))</f>
        <v/>
      </c>
      <c r="T137" s="36" t="n"/>
      <c r="U137" s="61" t="n"/>
      <c r="V137" s="61">
        <f>IF($A137="","",IFERROR($S137*'Settings'!$B$5,0))</f>
        <v/>
      </c>
      <c r="W137" s="32" t="n"/>
      <c r="X137" s="38" t="n"/>
      <c r="Y137" s="61">
        <f>IF($A137="","",IF(OR($W137="",$W137="None"),0,IFERROR($X137*VLOOKUP($W137,'Settings'!$A$15:$B$114,2,FALSE),0)))</f>
        <v/>
      </c>
      <c r="Z137" s="61">
        <f>IF($A137="","",IFERROR(SUM($U137,$V137,$Y137),0))</f>
        <v/>
      </c>
      <c r="AA137" s="61" t="n"/>
      <c r="AB137" s="61">
        <f>IF($A137="","",IFERROR($T137*'Settings'!$B$4,0))</f>
        <v/>
      </c>
      <c r="AC137" s="61" t="n"/>
      <c r="AD137" s="61">
        <f>IF($A137="","",IFERROR(SUM($AA137,$AB137,$AC137),0))</f>
        <v/>
      </c>
      <c r="AE137" s="61">
        <f>IF($A137="","",IFERROR($Z137-$AD137,0))</f>
        <v/>
      </c>
      <c r="AF137" s="39">
        <f>IF($A137="","",IFERROR($AE137/$Z137,0))</f>
        <v/>
      </c>
      <c r="AG137" s="32" t="n"/>
      <c r="AH137" s="33" t="n"/>
      <c r="AI137" s="40">
        <f>IF($A137="","",IF($C137="Delivered",IFERROR(MAX(0,$AH137-$B137),0),IF($C137="Canceled",0,IFERROR(MAX(0,TODAY()-$B137),0))))</f>
        <v/>
      </c>
      <c r="AJ137" s="34" t="n"/>
    </row>
    <row r="138">
      <c r="A138" s="32" t="n"/>
      <c r="B138" s="33" t="n"/>
      <c r="C138" s="32" t="n"/>
      <c r="D138" s="32" t="n"/>
      <c r="E138" s="34" t="n"/>
      <c r="F138" s="32" t="n"/>
      <c r="G138" s="32" t="n"/>
      <c r="H138" s="32" t="n"/>
      <c r="I138" s="34" t="n"/>
      <c r="J138" s="60" t="n"/>
      <c r="K138" s="60" t="n"/>
      <c r="L138" s="32" t="n"/>
      <c r="M138" s="32" t="n"/>
      <c r="N138" s="32" t="n"/>
      <c r="O138" s="34" t="n"/>
      <c r="P138" s="34" t="n"/>
      <c r="Q138" s="36" t="n"/>
      <c r="R138" s="36" t="n"/>
      <c r="S138" s="36">
        <f>IF($A138="","",IFERROR(SUM($Q138:$R138),0))</f>
        <v/>
      </c>
      <c r="T138" s="36" t="n"/>
      <c r="U138" s="61" t="n"/>
      <c r="V138" s="61">
        <f>IF($A138="","",IFERROR($S138*'Settings'!$B$5,0))</f>
        <v/>
      </c>
      <c r="W138" s="32" t="n"/>
      <c r="X138" s="38" t="n"/>
      <c r="Y138" s="61">
        <f>IF($A138="","",IF(OR($W138="",$W138="None"),0,IFERROR($X138*VLOOKUP($W138,'Settings'!$A$15:$B$114,2,FALSE),0)))</f>
        <v/>
      </c>
      <c r="Z138" s="61">
        <f>IF($A138="","",IFERROR(SUM($U138,$V138,$Y138),0))</f>
        <v/>
      </c>
      <c r="AA138" s="61" t="n"/>
      <c r="AB138" s="61">
        <f>IF($A138="","",IFERROR($T138*'Settings'!$B$4,0))</f>
        <v/>
      </c>
      <c r="AC138" s="61" t="n"/>
      <c r="AD138" s="61">
        <f>IF($A138="","",IFERROR(SUM($AA138,$AB138,$AC138),0))</f>
        <v/>
      </c>
      <c r="AE138" s="61">
        <f>IF($A138="","",IFERROR($Z138-$AD138,0))</f>
        <v/>
      </c>
      <c r="AF138" s="39">
        <f>IF($A138="","",IFERROR($AE138/$Z138,0))</f>
        <v/>
      </c>
      <c r="AG138" s="32" t="n"/>
      <c r="AH138" s="33" t="n"/>
      <c r="AI138" s="40">
        <f>IF($A138="","",IF($C138="Delivered",IFERROR(MAX(0,$AH138-$B138),0),IF($C138="Canceled",0,IFERROR(MAX(0,TODAY()-$B138),0))))</f>
        <v/>
      </c>
      <c r="AJ138" s="34" t="n"/>
    </row>
    <row r="139">
      <c r="A139" s="32" t="n"/>
      <c r="B139" s="33" t="n"/>
      <c r="C139" s="32" t="n"/>
      <c r="D139" s="32" t="n"/>
      <c r="E139" s="34" t="n"/>
      <c r="F139" s="32" t="n"/>
      <c r="G139" s="32" t="n"/>
      <c r="H139" s="32" t="n"/>
      <c r="I139" s="34" t="n"/>
      <c r="J139" s="60" t="n"/>
      <c r="K139" s="60" t="n"/>
      <c r="L139" s="32" t="n"/>
      <c r="M139" s="32" t="n"/>
      <c r="N139" s="32" t="n"/>
      <c r="O139" s="34" t="n"/>
      <c r="P139" s="34" t="n"/>
      <c r="Q139" s="36" t="n"/>
      <c r="R139" s="36" t="n"/>
      <c r="S139" s="36">
        <f>IF($A139="","",IFERROR(SUM($Q139:$R139),0))</f>
        <v/>
      </c>
      <c r="T139" s="36" t="n"/>
      <c r="U139" s="61" t="n"/>
      <c r="V139" s="61">
        <f>IF($A139="","",IFERROR($S139*'Settings'!$B$5,0))</f>
        <v/>
      </c>
      <c r="W139" s="32" t="n"/>
      <c r="X139" s="38" t="n"/>
      <c r="Y139" s="61">
        <f>IF($A139="","",IF(OR($W139="",$W139="None"),0,IFERROR($X139*VLOOKUP($W139,'Settings'!$A$15:$B$114,2,FALSE),0)))</f>
        <v/>
      </c>
      <c r="Z139" s="61">
        <f>IF($A139="","",IFERROR(SUM($U139,$V139,$Y139),0))</f>
        <v/>
      </c>
      <c r="AA139" s="61" t="n"/>
      <c r="AB139" s="61">
        <f>IF($A139="","",IFERROR($T139*'Settings'!$B$4,0))</f>
        <v/>
      </c>
      <c r="AC139" s="61" t="n"/>
      <c r="AD139" s="61">
        <f>IF($A139="","",IFERROR(SUM($AA139,$AB139,$AC139),0))</f>
        <v/>
      </c>
      <c r="AE139" s="61">
        <f>IF($A139="","",IFERROR($Z139-$AD139,0))</f>
        <v/>
      </c>
      <c r="AF139" s="39">
        <f>IF($A139="","",IFERROR($AE139/$Z139,0))</f>
        <v/>
      </c>
      <c r="AG139" s="32" t="n"/>
      <c r="AH139" s="33" t="n"/>
      <c r="AI139" s="40">
        <f>IF($A139="","",IF($C139="Delivered",IFERROR(MAX(0,$AH139-$B139),0),IF($C139="Canceled",0,IFERROR(MAX(0,TODAY()-$B139),0))))</f>
        <v/>
      </c>
      <c r="AJ139" s="34" t="n"/>
    </row>
    <row r="140">
      <c r="A140" s="32" t="n"/>
      <c r="B140" s="33" t="n"/>
      <c r="C140" s="32" t="n"/>
      <c r="D140" s="32" t="n"/>
      <c r="E140" s="34" t="n"/>
      <c r="F140" s="32" t="n"/>
      <c r="G140" s="32" t="n"/>
      <c r="H140" s="32" t="n"/>
      <c r="I140" s="34" t="n"/>
      <c r="J140" s="60" t="n"/>
      <c r="K140" s="60" t="n"/>
      <c r="L140" s="32" t="n"/>
      <c r="M140" s="32" t="n"/>
      <c r="N140" s="32" t="n"/>
      <c r="O140" s="34" t="n"/>
      <c r="P140" s="34" t="n"/>
      <c r="Q140" s="36" t="n"/>
      <c r="R140" s="36" t="n"/>
      <c r="S140" s="36">
        <f>IF($A140="","",IFERROR(SUM($Q140:$R140),0))</f>
        <v/>
      </c>
      <c r="T140" s="36" t="n"/>
      <c r="U140" s="61" t="n"/>
      <c r="V140" s="61">
        <f>IF($A140="","",IFERROR($S140*'Settings'!$B$5,0))</f>
        <v/>
      </c>
      <c r="W140" s="32" t="n"/>
      <c r="X140" s="38" t="n"/>
      <c r="Y140" s="61">
        <f>IF($A140="","",IF(OR($W140="",$W140="None"),0,IFERROR($X140*VLOOKUP($W140,'Settings'!$A$15:$B$114,2,FALSE),0)))</f>
        <v/>
      </c>
      <c r="Z140" s="61">
        <f>IF($A140="","",IFERROR(SUM($U140,$V140,$Y140),0))</f>
        <v/>
      </c>
      <c r="AA140" s="61" t="n"/>
      <c r="AB140" s="61">
        <f>IF($A140="","",IFERROR($T140*'Settings'!$B$4,0))</f>
        <v/>
      </c>
      <c r="AC140" s="61" t="n"/>
      <c r="AD140" s="61">
        <f>IF($A140="","",IFERROR(SUM($AA140,$AB140,$AC140),0))</f>
        <v/>
      </c>
      <c r="AE140" s="61">
        <f>IF($A140="","",IFERROR($Z140-$AD140,0))</f>
        <v/>
      </c>
      <c r="AF140" s="39">
        <f>IF($A140="","",IFERROR($AE140/$Z140,0))</f>
        <v/>
      </c>
      <c r="AG140" s="32" t="n"/>
      <c r="AH140" s="33" t="n"/>
      <c r="AI140" s="40">
        <f>IF($A140="","",IF($C140="Delivered",IFERROR(MAX(0,$AH140-$B140),0),IF($C140="Canceled",0,IFERROR(MAX(0,TODAY()-$B140),0))))</f>
        <v/>
      </c>
      <c r="AJ140" s="34" t="n"/>
    </row>
    <row r="141">
      <c r="A141" s="32" t="n"/>
      <c r="B141" s="33" t="n"/>
      <c r="C141" s="32" t="n"/>
      <c r="D141" s="32" t="n"/>
      <c r="E141" s="34" t="n"/>
      <c r="F141" s="32" t="n"/>
      <c r="G141" s="32" t="n"/>
      <c r="H141" s="32" t="n"/>
      <c r="I141" s="34" t="n"/>
      <c r="J141" s="60" t="n"/>
      <c r="K141" s="60" t="n"/>
      <c r="L141" s="32" t="n"/>
      <c r="M141" s="32" t="n"/>
      <c r="N141" s="32" t="n"/>
      <c r="O141" s="34" t="n"/>
      <c r="P141" s="34" t="n"/>
      <c r="Q141" s="36" t="n"/>
      <c r="R141" s="36" t="n"/>
      <c r="S141" s="36">
        <f>IF($A141="","",IFERROR(SUM($Q141:$R141),0))</f>
        <v/>
      </c>
      <c r="T141" s="36" t="n"/>
      <c r="U141" s="61" t="n"/>
      <c r="V141" s="61">
        <f>IF($A141="","",IFERROR($S141*'Settings'!$B$5,0))</f>
        <v/>
      </c>
      <c r="W141" s="32" t="n"/>
      <c r="X141" s="38" t="n"/>
      <c r="Y141" s="61">
        <f>IF($A141="","",IF(OR($W141="",$W141="None"),0,IFERROR($X141*VLOOKUP($W141,'Settings'!$A$15:$B$114,2,FALSE),0)))</f>
        <v/>
      </c>
      <c r="Z141" s="61">
        <f>IF($A141="","",IFERROR(SUM($U141,$V141,$Y141),0))</f>
        <v/>
      </c>
      <c r="AA141" s="61" t="n"/>
      <c r="AB141" s="61">
        <f>IF($A141="","",IFERROR($T141*'Settings'!$B$4,0))</f>
        <v/>
      </c>
      <c r="AC141" s="61" t="n"/>
      <c r="AD141" s="61">
        <f>IF($A141="","",IFERROR(SUM($AA141,$AB141,$AC141),0))</f>
        <v/>
      </c>
      <c r="AE141" s="61">
        <f>IF($A141="","",IFERROR($Z141-$AD141,0))</f>
        <v/>
      </c>
      <c r="AF141" s="39">
        <f>IF($A141="","",IFERROR($AE141/$Z141,0))</f>
        <v/>
      </c>
      <c r="AG141" s="32" t="n"/>
      <c r="AH141" s="33" t="n"/>
      <c r="AI141" s="40">
        <f>IF($A141="","",IF($C141="Delivered",IFERROR(MAX(0,$AH141-$B141),0),IF($C141="Canceled",0,IFERROR(MAX(0,TODAY()-$B141),0))))</f>
        <v/>
      </c>
      <c r="AJ141" s="34" t="n"/>
    </row>
    <row r="142">
      <c r="A142" s="32" t="n"/>
      <c r="B142" s="33" t="n"/>
      <c r="C142" s="32" t="n"/>
      <c r="D142" s="32" t="n"/>
      <c r="E142" s="34" t="n"/>
      <c r="F142" s="32" t="n"/>
      <c r="G142" s="32" t="n"/>
      <c r="H142" s="32" t="n"/>
      <c r="I142" s="34" t="n"/>
      <c r="J142" s="60" t="n"/>
      <c r="K142" s="60" t="n"/>
      <c r="L142" s="32" t="n"/>
      <c r="M142" s="32" t="n"/>
      <c r="N142" s="32" t="n"/>
      <c r="O142" s="34" t="n"/>
      <c r="P142" s="34" t="n"/>
      <c r="Q142" s="36" t="n"/>
      <c r="R142" s="36" t="n"/>
      <c r="S142" s="36">
        <f>IF($A142="","",IFERROR(SUM($Q142:$R142),0))</f>
        <v/>
      </c>
      <c r="T142" s="36" t="n"/>
      <c r="U142" s="61" t="n"/>
      <c r="V142" s="61">
        <f>IF($A142="","",IFERROR($S142*'Settings'!$B$5,0))</f>
        <v/>
      </c>
      <c r="W142" s="32" t="n"/>
      <c r="X142" s="38" t="n"/>
      <c r="Y142" s="61">
        <f>IF($A142="","",IF(OR($W142="",$W142="None"),0,IFERROR($X142*VLOOKUP($W142,'Settings'!$A$15:$B$114,2,FALSE),0)))</f>
        <v/>
      </c>
      <c r="Z142" s="61">
        <f>IF($A142="","",IFERROR(SUM($U142,$V142,$Y142),0))</f>
        <v/>
      </c>
      <c r="AA142" s="61" t="n"/>
      <c r="AB142" s="61">
        <f>IF($A142="","",IFERROR($T142*'Settings'!$B$4,0))</f>
        <v/>
      </c>
      <c r="AC142" s="61" t="n"/>
      <c r="AD142" s="61">
        <f>IF($A142="","",IFERROR(SUM($AA142,$AB142,$AC142),0))</f>
        <v/>
      </c>
      <c r="AE142" s="61">
        <f>IF($A142="","",IFERROR($Z142-$AD142,0))</f>
        <v/>
      </c>
      <c r="AF142" s="39">
        <f>IF($A142="","",IFERROR($AE142/$Z142,0))</f>
        <v/>
      </c>
      <c r="AG142" s="32" t="n"/>
      <c r="AH142" s="33" t="n"/>
      <c r="AI142" s="40">
        <f>IF($A142="","",IF($C142="Delivered",IFERROR(MAX(0,$AH142-$B142),0),IF($C142="Canceled",0,IFERROR(MAX(0,TODAY()-$B142),0))))</f>
        <v/>
      </c>
      <c r="AJ142" s="34" t="n"/>
    </row>
    <row r="143">
      <c r="A143" s="32" t="n"/>
      <c r="B143" s="33" t="n"/>
      <c r="C143" s="32" t="n"/>
      <c r="D143" s="32" t="n"/>
      <c r="E143" s="34" t="n"/>
      <c r="F143" s="32" t="n"/>
      <c r="G143" s="32" t="n"/>
      <c r="H143" s="32" t="n"/>
      <c r="I143" s="34" t="n"/>
      <c r="J143" s="60" t="n"/>
      <c r="K143" s="60" t="n"/>
      <c r="L143" s="32" t="n"/>
      <c r="M143" s="32" t="n"/>
      <c r="N143" s="32" t="n"/>
      <c r="O143" s="34" t="n"/>
      <c r="P143" s="34" t="n"/>
      <c r="Q143" s="36" t="n"/>
      <c r="R143" s="36" t="n"/>
      <c r="S143" s="36">
        <f>IF($A143="","",IFERROR(SUM($Q143:$R143),0))</f>
        <v/>
      </c>
      <c r="T143" s="36" t="n"/>
      <c r="U143" s="61" t="n"/>
      <c r="V143" s="61">
        <f>IF($A143="","",IFERROR($S143*'Settings'!$B$5,0))</f>
        <v/>
      </c>
      <c r="W143" s="32" t="n"/>
      <c r="X143" s="38" t="n"/>
      <c r="Y143" s="61">
        <f>IF($A143="","",IF(OR($W143="",$W143="None"),0,IFERROR($X143*VLOOKUP($W143,'Settings'!$A$15:$B$114,2,FALSE),0)))</f>
        <v/>
      </c>
      <c r="Z143" s="61">
        <f>IF($A143="","",IFERROR(SUM($U143,$V143,$Y143),0))</f>
        <v/>
      </c>
      <c r="AA143" s="61" t="n"/>
      <c r="AB143" s="61">
        <f>IF($A143="","",IFERROR($T143*'Settings'!$B$4,0))</f>
        <v/>
      </c>
      <c r="AC143" s="61" t="n"/>
      <c r="AD143" s="61">
        <f>IF($A143="","",IFERROR(SUM($AA143,$AB143,$AC143),0))</f>
        <v/>
      </c>
      <c r="AE143" s="61">
        <f>IF($A143="","",IFERROR($Z143-$AD143,0))</f>
        <v/>
      </c>
      <c r="AF143" s="39">
        <f>IF($A143="","",IFERROR($AE143/$Z143,0))</f>
        <v/>
      </c>
      <c r="AG143" s="32" t="n"/>
      <c r="AH143" s="33" t="n"/>
      <c r="AI143" s="40">
        <f>IF($A143="","",IF($C143="Delivered",IFERROR(MAX(0,$AH143-$B143),0),IF($C143="Canceled",0,IFERROR(MAX(0,TODAY()-$B143),0))))</f>
        <v/>
      </c>
      <c r="AJ143" s="34" t="n"/>
    </row>
    <row r="144">
      <c r="A144" s="32" t="n"/>
      <c r="B144" s="33" t="n"/>
      <c r="C144" s="32" t="n"/>
      <c r="D144" s="32" t="n"/>
      <c r="E144" s="34" t="n"/>
      <c r="F144" s="32" t="n"/>
      <c r="G144" s="32" t="n"/>
      <c r="H144" s="32" t="n"/>
      <c r="I144" s="34" t="n"/>
      <c r="J144" s="60" t="n"/>
      <c r="K144" s="60" t="n"/>
      <c r="L144" s="32" t="n"/>
      <c r="M144" s="32" t="n"/>
      <c r="N144" s="32" t="n"/>
      <c r="O144" s="34" t="n"/>
      <c r="P144" s="34" t="n"/>
      <c r="Q144" s="36" t="n"/>
      <c r="R144" s="36" t="n"/>
      <c r="S144" s="36">
        <f>IF($A144="","",IFERROR(SUM($Q144:$R144),0))</f>
        <v/>
      </c>
      <c r="T144" s="36" t="n"/>
      <c r="U144" s="61" t="n"/>
      <c r="V144" s="61">
        <f>IF($A144="","",IFERROR($S144*'Settings'!$B$5,0))</f>
        <v/>
      </c>
      <c r="W144" s="32" t="n"/>
      <c r="X144" s="38" t="n"/>
      <c r="Y144" s="61">
        <f>IF($A144="","",IF(OR($W144="",$W144="None"),0,IFERROR($X144*VLOOKUP($W144,'Settings'!$A$15:$B$114,2,FALSE),0)))</f>
        <v/>
      </c>
      <c r="Z144" s="61">
        <f>IF($A144="","",IFERROR(SUM($U144,$V144,$Y144),0))</f>
        <v/>
      </c>
      <c r="AA144" s="61" t="n"/>
      <c r="AB144" s="61">
        <f>IF($A144="","",IFERROR($T144*'Settings'!$B$4,0))</f>
        <v/>
      </c>
      <c r="AC144" s="61" t="n"/>
      <c r="AD144" s="61">
        <f>IF($A144="","",IFERROR(SUM($AA144,$AB144,$AC144),0))</f>
        <v/>
      </c>
      <c r="AE144" s="61">
        <f>IF($A144="","",IFERROR($Z144-$AD144,0))</f>
        <v/>
      </c>
      <c r="AF144" s="39">
        <f>IF($A144="","",IFERROR($AE144/$Z144,0))</f>
        <v/>
      </c>
      <c r="AG144" s="32" t="n"/>
      <c r="AH144" s="33" t="n"/>
      <c r="AI144" s="40">
        <f>IF($A144="","",IF($C144="Delivered",IFERROR(MAX(0,$AH144-$B144),0),IF($C144="Canceled",0,IFERROR(MAX(0,TODAY()-$B144),0))))</f>
        <v/>
      </c>
      <c r="AJ144" s="34" t="n"/>
    </row>
    <row r="145">
      <c r="A145" s="32" t="n"/>
      <c r="B145" s="33" t="n"/>
      <c r="C145" s="32" t="n"/>
      <c r="D145" s="32" t="n"/>
      <c r="E145" s="34" t="n"/>
      <c r="F145" s="32" t="n"/>
      <c r="G145" s="32" t="n"/>
      <c r="H145" s="32" t="n"/>
      <c r="I145" s="34" t="n"/>
      <c r="J145" s="60" t="n"/>
      <c r="K145" s="60" t="n"/>
      <c r="L145" s="32" t="n"/>
      <c r="M145" s="32" t="n"/>
      <c r="N145" s="32" t="n"/>
      <c r="O145" s="34" t="n"/>
      <c r="P145" s="34" t="n"/>
      <c r="Q145" s="36" t="n"/>
      <c r="R145" s="36" t="n"/>
      <c r="S145" s="36">
        <f>IF($A145="","",IFERROR(SUM($Q145:$R145),0))</f>
        <v/>
      </c>
      <c r="T145" s="36" t="n"/>
      <c r="U145" s="61" t="n"/>
      <c r="V145" s="61">
        <f>IF($A145="","",IFERROR($S145*'Settings'!$B$5,0))</f>
        <v/>
      </c>
      <c r="W145" s="32" t="n"/>
      <c r="X145" s="38" t="n"/>
      <c r="Y145" s="61">
        <f>IF($A145="","",IF(OR($W145="",$W145="None"),0,IFERROR($X145*VLOOKUP($W145,'Settings'!$A$15:$B$114,2,FALSE),0)))</f>
        <v/>
      </c>
      <c r="Z145" s="61">
        <f>IF($A145="","",IFERROR(SUM($U145,$V145,$Y145),0))</f>
        <v/>
      </c>
      <c r="AA145" s="61" t="n"/>
      <c r="AB145" s="61">
        <f>IF($A145="","",IFERROR($T145*'Settings'!$B$4,0))</f>
        <v/>
      </c>
      <c r="AC145" s="61" t="n"/>
      <c r="AD145" s="61">
        <f>IF($A145="","",IFERROR(SUM($AA145,$AB145,$AC145),0))</f>
        <v/>
      </c>
      <c r="AE145" s="61">
        <f>IF($A145="","",IFERROR($Z145-$AD145,0))</f>
        <v/>
      </c>
      <c r="AF145" s="39">
        <f>IF($A145="","",IFERROR($AE145/$Z145,0))</f>
        <v/>
      </c>
      <c r="AG145" s="32" t="n"/>
      <c r="AH145" s="33" t="n"/>
      <c r="AI145" s="40">
        <f>IF($A145="","",IF($C145="Delivered",IFERROR(MAX(0,$AH145-$B145),0),IF($C145="Canceled",0,IFERROR(MAX(0,TODAY()-$B145),0))))</f>
        <v/>
      </c>
      <c r="AJ145" s="34" t="n"/>
    </row>
    <row r="146">
      <c r="A146" s="32" t="n"/>
      <c r="B146" s="33" t="n"/>
      <c r="C146" s="32" t="n"/>
      <c r="D146" s="32" t="n"/>
      <c r="E146" s="34" t="n"/>
      <c r="F146" s="32" t="n"/>
      <c r="G146" s="32" t="n"/>
      <c r="H146" s="32" t="n"/>
      <c r="I146" s="34" t="n"/>
      <c r="J146" s="60" t="n"/>
      <c r="K146" s="60" t="n"/>
      <c r="L146" s="32" t="n"/>
      <c r="M146" s="32" t="n"/>
      <c r="N146" s="32" t="n"/>
      <c r="O146" s="34" t="n"/>
      <c r="P146" s="34" t="n"/>
      <c r="Q146" s="36" t="n"/>
      <c r="R146" s="36" t="n"/>
      <c r="S146" s="36">
        <f>IF($A146="","",IFERROR(SUM($Q146:$R146),0))</f>
        <v/>
      </c>
      <c r="T146" s="36" t="n"/>
      <c r="U146" s="61" t="n"/>
      <c r="V146" s="61">
        <f>IF($A146="","",IFERROR($S146*'Settings'!$B$5,0))</f>
        <v/>
      </c>
      <c r="W146" s="32" t="n"/>
      <c r="X146" s="38" t="n"/>
      <c r="Y146" s="61">
        <f>IF($A146="","",IF(OR($W146="",$W146="None"),0,IFERROR($X146*VLOOKUP($W146,'Settings'!$A$15:$B$114,2,FALSE),0)))</f>
        <v/>
      </c>
      <c r="Z146" s="61">
        <f>IF($A146="","",IFERROR(SUM($U146,$V146,$Y146),0))</f>
        <v/>
      </c>
      <c r="AA146" s="61" t="n"/>
      <c r="AB146" s="61">
        <f>IF($A146="","",IFERROR($T146*'Settings'!$B$4,0))</f>
        <v/>
      </c>
      <c r="AC146" s="61" t="n"/>
      <c r="AD146" s="61">
        <f>IF($A146="","",IFERROR(SUM($AA146,$AB146,$AC146),0))</f>
        <v/>
      </c>
      <c r="AE146" s="61">
        <f>IF($A146="","",IFERROR($Z146-$AD146,0))</f>
        <v/>
      </c>
      <c r="AF146" s="39">
        <f>IF($A146="","",IFERROR($AE146/$Z146,0))</f>
        <v/>
      </c>
      <c r="AG146" s="32" t="n"/>
      <c r="AH146" s="33" t="n"/>
      <c r="AI146" s="40">
        <f>IF($A146="","",IF($C146="Delivered",IFERROR(MAX(0,$AH146-$B146),0),IF($C146="Canceled",0,IFERROR(MAX(0,TODAY()-$B146),0))))</f>
        <v/>
      </c>
      <c r="AJ146" s="34" t="n"/>
    </row>
    <row r="147">
      <c r="A147" s="32" t="n"/>
      <c r="B147" s="33" t="n"/>
      <c r="C147" s="32" t="n"/>
      <c r="D147" s="32" t="n"/>
      <c r="E147" s="34" t="n"/>
      <c r="F147" s="32" t="n"/>
      <c r="G147" s="32" t="n"/>
      <c r="H147" s="32" t="n"/>
      <c r="I147" s="34" t="n"/>
      <c r="J147" s="60" t="n"/>
      <c r="K147" s="60" t="n"/>
      <c r="L147" s="32" t="n"/>
      <c r="M147" s="32" t="n"/>
      <c r="N147" s="32" t="n"/>
      <c r="O147" s="34" t="n"/>
      <c r="P147" s="34" t="n"/>
      <c r="Q147" s="36" t="n"/>
      <c r="R147" s="36" t="n"/>
      <c r="S147" s="36">
        <f>IF($A147="","",IFERROR(SUM($Q147:$R147),0))</f>
        <v/>
      </c>
      <c r="T147" s="36" t="n"/>
      <c r="U147" s="61" t="n"/>
      <c r="V147" s="61">
        <f>IF($A147="","",IFERROR($S147*'Settings'!$B$5,0))</f>
        <v/>
      </c>
      <c r="W147" s="32" t="n"/>
      <c r="X147" s="38" t="n"/>
      <c r="Y147" s="61">
        <f>IF($A147="","",IF(OR($W147="",$W147="None"),0,IFERROR($X147*VLOOKUP($W147,'Settings'!$A$15:$B$114,2,FALSE),0)))</f>
        <v/>
      </c>
      <c r="Z147" s="61">
        <f>IF($A147="","",IFERROR(SUM($U147,$V147,$Y147),0))</f>
        <v/>
      </c>
      <c r="AA147" s="61" t="n"/>
      <c r="AB147" s="61">
        <f>IF($A147="","",IFERROR($T147*'Settings'!$B$4,0))</f>
        <v/>
      </c>
      <c r="AC147" s="61" t="n"/>
      <c r="AD147" s="61">
        <f>IF($A147="","",IFERROR(SUM($AA147,$AB147,$AC147),0))</f>
        <v/>
      </c>
      <c r="AE147" s="61">
        <f>IF($A147="","",IFERROR($Z147-$AD147,0))</f>
        <v/>
      </c>
      <c r="AF147" s="39">
        <f>IF($A147="","",IFERROR($AE147/$Z147,0))</f>
        <v/>
      </c>
      <c r="AG147" s="32" t="n"/>
      <c r="AH147" s="33" t="n"/>
      <c r="AI147" s="40">
        <f>IF($A147="","",IF($C147="Delivered",IFERROR(MAX(0,$AH147-$B147),0),IF($C147="Canceled",0,IFERROR(MAX(0,TODAY()-$B147),0))))</f>
        <v/>
      </c>
      <c r="AJ147" s="34" t="n"/>
    </row>
    <row r="148">
      <c r="A148" s="32" t="n"/>
      <c r="B148" s="33" t="n"/>
      <c r="C148" s="32" t="n"/>
      <c r="D148" s="32" t="n"/>
      <c r="E148" s="34" t="n"/>
      <c r="F148" s="32" t="n"/>
      <c r="G148" s="32" t="n"/>
      <c r="H148" s="32" t="n"/>
      <c r="I148" s="34" t="n"/>
      <c r="J148" s="60" t="n"/>
      <c r="K148" s="60" t="n"/>
      <c r="L148" s="32" t="n"/>
      <c r="M148" s="32" t="n"/>
      <c r="N148" s="32" t="n"/>
      <c r="O148" s="34" t="n"/>
      <c r="P148" s="34" t="n"/>
      <c r="Q148" s="36" t="n"/>
      <c r="R148" s="36" t="n"/>
      <c r="S148" s="36">
        <f>IF($A148="","",IFERROR(SUM($Q148:$R148),0))</f>
        <v/>
      </c>
      <c r="T148" s="36" t="n"/>
      <c r="U148" s="61" t="n"/>
      <c r="V148" s="61">
        <f>IF($A148="","",IFERROR($S148*'Settings'!$B$5,0))</f>
        <v/>
      </c>
      <c r="W148" s="32" t="n"/>
      <c r="X148" s="38" t="n"/>
      <c r="Y148" s="61">
        <f>IF($A148="","",IF(OR($W148="",$W148="None"),0,IFERROR($X148*VLOOKUP($W148,'Settings'!$A$15:$B$114,2,FALSE),0)))</f>
        <v/>
      </c>
      <c r="Z148" s="61">
        <f>IF($A148="","",IFERROR(SUM($U148,$V148,$Y148),0))</f>
        <v/>
      </c>
      <c r="AA148" s="61" t="n"/>
      <c r="AB148" s="61">
        <f>IF($A148="","",IFERROR($T148*'Settings'!$B$4,0))</f>
        <v/>
      </c>
      <c r="AC148" s="61" t="n"/>
      <c r="AD148" s="61">
        <f>IF($A148="","",IFERROR(SUM($AA148,$AB148,$AC148),0))</f>
        <v/>
      </c>
      <c r="AE148" s="61">
        <f>IF($A148="","",IFERROR($Z148-$AD148,0))</f>
        <v/>
      </c>
      <c r="AF148" s="39">
        <f>IF($A148="","",IFERROR($AE148/$Z148,0))</f>
        <v/>
      </c>
      <c r="AG148" s="32" t="n"/>
      <c r="AH148" s="33" t="n"/>
      <c r="AI148" s="40">
        <f>IF($A148="","",IF($C148="Delivered",IFERROR(MAX(0,$AH148-$B148),0),IF($C148="Canceled",0,IFERROR(MAX(0,TODAY()-$B148),0))))</f>
        <v/>
      </c>
      <c r="AJ148" s="34" t="n"/>
    </row>
    <row r="149">
      <c r="A149" s="32" t="n"/>
      <c r="B149" s="33" t="n"/>
      <c r="C149" s="32" t="n"/>
      <c r="D149" s="32" t="n"/>
      <c r="E149" s="34" t="n"/>
      <c r="F149" s="32" t="n"/>
      <c r="G149" s="32" t="n"/>
      <c r="H149" s="32" t="n"/>
      <c r="I149" s="34" t="n"/>
      <c r="J149" s="60" t="n"/>
      <c r="K149" s="60" t="n"/>
      <c r="L149" s="32" t="n"/>
      <c r="M149" s="32" t="n"/>
      <c r="N149" s="32" t="n"/>
      <c r="O149" s="34" t="n"/>
      <c r="P149" s="34" t="n"/>
      <c r="Q149" s="36" t="n"/>
      <c r="R149" s="36" t="n"/>
      <c r="S149" s="36">
        <f>IF($A149="","",IFERROR(SUM($Q149:$R149),0))</f>
        <v/>
      </c>
      <c r="T149" s="36" t="n"/>
      <c r="U149" s="61" t="n"/>
      <c r="V149" s="61">
        <f>IF($A149="","",IFERROR($S149*'Settings'!$B$5,0))</f>
        <v/>
      </c>
      <c r="W149" s="32" t="n"/>
      <c r="X149" s="38" t="n"/>
      <c r="Y149" s="61">
        <f>IF($A149="","",IF(OR($W149="",$W149="None"),0,IFERROR($X149*VLOOKUP($W149,'Settings'!$A$15:$B$114,2,FALSE),0)))</f>
        <v/>
      </c>
      <c r="Z149" s="61">
        <f>IF($A149="","",IFERROR(SUM($U149,$V149,$Y149),0))</f>
        <v/>
      </c>
      <c r="AA149" s="61" t="n"/>
      <c r="AB149" s="61">
        <f>IF($A149="","",IFERROR($T149*'Settings'!$B$4,0))</f>
        <v/>
      </c>
      <c r="AC149" s="61" t="n"/>
      <c r="AD149" s="61">
        <f>IF($A149="","",IFERROR(SUM($AA149,$AB149,$AC149),0))</f>
        <v/>
      </c>
      <c r="AE149" s="61">
        <f>IF($A149="","",IFERROR($Z149-$AD149,0))</f>
        <v/>
      </c>
      <c r="AF149" s="39">
        <f>IF($A149="","",IFERROR($AE149/$Z149,0))</f>
        <v/>
      </c>
      <c r="AG149" s="32" t="n"/>
      <c r="AH149" s="33" t="n"/>
      <c r="AI149" s="40">
        <f>IF($A149="","",IF($C149="Delivered",IFERROR(MAX(0,$AH149-$B149),0),IF($C149="Canceled",0,IFERROR(MAX(0,TODAY()-$B149),0))))</f>
        <v/>
      </c>
      <c r="AJ149" s="34" t="n"/>
    </row>
    <row r="150">
      <c r="A150" s="32" t="n"/>
      <c r="B150" s="33" t="n"/>
      <c r="C150" s="32" t="n"/>
      <c r="D150" s="32" t="n"/>
      <c r="E150" s="34" t="n"/>
      <c r="F150" s="32" t="n"/>
      <c r="G150" s="32" t="n"/>
      <c r="H150" s="32" t="n"/>
      <c r="I150" s="34" t="n"/>
      <c r="J150" s="60" t="n"/>
      <c r="K150" s="60" t="n"/>
      <c r="L150" s="32" t="n"/>
      <c r="M150" s="32" t="n"/>
      <c r="N150" s="32" t="n"/>
      <c r="O150" s="34" t="n"/>
      <c r="P150" s="34" t="n"/>
      <c r="Q150" s="36" t="n"/>
      <c r="R150" s="36" t="n"/>
      <c r="S150" s="36">
        <f>IF($A150="","",IFERROR(SUM($Q150:$R150),0))</f>
        <v/>
      </c>
      <c r="T150" s="36" t="n"/>
      <c r="U150" s="61" t="n"/>
      <c r="V150" s="61">
        <f>IF($A150="","",IFERROR($S150*'Settings'!$B$5,0))</f>
        <v/>
      </c>
      <c r="W150" s="32" t="n"/>
      <c r="X150" s="38" t="n"/>
      <c r="Y150" s="61">
        <f>IF($A150="","",IF(OR($W150="",$W150="None"),0,IFERROR($X150*VLOOKUP($W150,'Settings'!$A$15:$B$114,2,FALSE),0)))</f>
        <v/>
      </c>
      <c r="Z150" s="61">
        <f>IF($A150="","",IFERROR(SUM($U150,$V150,$Y150),0))</f>
        <v/>
      </c>
      <c r="AA150" s="61" t="n"/>
      <c r="AB150" s="61">
        <f>IF($A150="","",IFERROR($T150*'Settings'!$B$4,0))</f>
        <v/>
      </c>
      <c r="AC150" s="61" t="n"/>
      <c r="AD150" s="61">
        <f>IF($A150="","",IFERROR(SUM($AA150,$AB150,$AC150),0))</f>
        <v/>
      </c>
      <c r="AE150" s="61">
        <f>IF($A150="","",IFERROR($Z150-$AD150,0))</f>
        <v/>
      </c>
      <c r="AF150" s="39">
        <f>IF($A150="","",IFERROR($AE150/$Z150,0))</f>
        <v/>
      </c>
      <c r="AG150" s="32" t="n"/>
      <c r="AH150" s="33" t="n"/>
      <c r="AI150" s="40">
        <f>IF($A150="","",IF($C150="Delivered",IFERROR(MAX(0,$AH150-$B150),0),IF($C150="Canceled",0,IFERROR(MAX(0,TODAY()-$B150),0))))</f>
        <v/>
      </c>
      <c r="AJ150" s="34" t="n"/>
    </row>
    <row r="151">
      <c r="A151" s="32" t="n"/>
      <c r="B151" s="33" t="n"/>
      <c r="C151" s="32" t="n"/>
      <c r="D151" s="32" t="n"/>
      <c r="E151" s="34" t="n"/>
      <c r="F151" s="32" t="n"/>
      <c r="G151" s="32" t="n"/>
      <c r="H151" s="32" t="n"/>
      <c r="I151" s="34" t="n"/>
      <c r="J151" s="60" t="n"/>
      <c r="K151" s="60" t="n"/>
      <c r="L151" s="32" t="n"/>
      <c r="M151" s="32" t="n"/>
      <c r="N151" s="32" t="n"/>
      <c r="O151" s="34" t="n"/>
      <c r="P151" s="34" t="n"/>
      <c r="Q151" s="36" t="n"/>
      <c r="R151" s="36" t="n"/>
      <c r="S151" s="36">
        <f>IF($A151="","",IFERROR(SUM($Q151:$R151),0))</f>
        <v/>
      </c>
      <c r="T151" s="36" t="n"/>
      <c r="U151" s="61" t="n"/>
      <c r="V151" s="61">
        <f>IF($A151="","",IFERROR($S151*'Settings'!$B$5,0))</f>
        <v/>
      </c>
      <c r="W151" s="32" t="n"/>
      <c r="X151" s="38" t="n"/>
      <c r="Y151" s="61">
        <f>IF($A151="","",IF(OR($W151="",$W151="None"),0,IFERROR($X151*VLOOKUP($W151,'Settings'!$A$15:$B$114,2,FALSE),0)))</f>
        <v/>
      </c>
      <c r="Z151" s="61">
        <f>IF($A151="","",IFERROR(SUM($U151,$V151,$Y151),0))</f>
        <v/>
      </c>
      <c r="AA151" s="61" t="n"/>
      <c r="AB151" s="61">
        <f>IF($A151="","",IFERROR($T151*'Settings'!$B$4,0))</f>
        <v/>
      </c>
      <c r="AC151" s="61" t="n"/>
      <c r="AD151" s="61">
        <f>IF($A151="","",IFERROR(SUM($AA151,$AB151,$AC151),0))</f>
        <v/>
      </c>
      <c r="AE151" s="61">
        <f>IF($A151="","",IFERROR($Z151-$AD151,0))</f>
        <v/>
      </c>
      <c r="AF151" s="39">
        <f>IF($A151="","",IFERROR($AE151/$Z151,0))</f>
        <v/>
      </c>
      <c r="AG151" s="32" t="n"/>
      <c r="AH151" s="33" t="n"/>
      <c r="AI151" s="40">
        <f>IF($A151="","",IF($C151="Delivered",IFERROR(MAX(0,$AH151-$B151),0),IF($C151="Canceled",0,IFERROR(MAX(0,TODAY()-$B151),0))))</f>
        <v/>
      </c>
      <c r="AJ151" s="34" t="n"/>
    </row>
    <row r="152">
      <c r="A152" s="32" t="n"/>
      <c r="B152" s="33" t="n"/>
      <c r="C152" s="32" t="n"/>
      <c r="D152" s="32" t="n"/>
      <c r="E152" s="34" t="n"/>
      <c r="F152" s="32" t="n"/>
      <c r="G152" s="32" t="n"/>
      <c r="H152" s="32" t="n"/>
      <c r="I152" s="34" t="n"/>
      <c r="J152" s="60" t="n"/>
      <c r="K152" s="60" t="n"/>
      <c r="L152" s="32" t="n"/>
      <c r="M152" s="32" t="n"/>
      <c r="N152" s="32" t="n"/>
      <c r="O152" s="34" t="n"/>
      <c r="P152" s="34" t="n"/>
      <c r="Q152" s="36" t="n"/>
      <c r="R152" s="36" t="n"/>
      <c r="S152" s="36">
        <f>IF($A152="","",IFERROR(SUM($Q152:$R152),0))</f>
        <v/>
      </c>
      <c r="T152" s="36" t="n"/>
      <c r="U152" s="61" t="n"/>
      <c r="V152" s="61">
        <f>IF($A152="","",IFERROR($S152*'Settings'!$B$5,0))</f>
        <v/>
      </c>
      <c r="W152" s="32" t="n"/>
      <c r="X152" s="38" t="n"/>
      <c r="Y152" s="61">
        <f>IF($A152="","",IF(OR($W152="",$W152="None"),0,IFERROR($X152*VLOOKUP($W152,'Settings'!$A$15:$B$114,2,FALSE),0)))</f>
        <v/>
      </c>
      <c r="Z152" s="61">
        <f>IF($A152="","",IFERROR(SUM($U152,$V152,$Y152),0))</f>
        <v/>
      </c>
      <c r="AA152" s="61" t="n"/>
      <c r="AB152" s="61">
        <f>IF($A152="","",IFERROR($T152*'Settings'!$B$4,0))</f>
        <v/>
      </c>
      <c r="AC152" s="61" t="n"/>
      <c r="AD152" s="61">
        <f>IF($A152="","",IFERROR(SUM($AA152,$AB152,$AC152),0))</f>
        <v/>
      </c>
      <c r="AE152" s="61">
        <f>IF($A152="","",IFERROR($Z152-$AD152,0))</f>
        <v/>
      </c>
      <c r="AF152" s="39">
        <f>IF($A152="","",IFERROR($AE152/$Z152,0))</f>
        <v/>
      </c>
      <c r="AG152" s="32" t="n"/>
      <c r="AH152" s="33" t="n"/>
      <c r="AI152" s="40">
        <f>IF($A152="","",IF($C152="Delivered",IFERROR(MAX(0,$AH152-$B152),0),IF($C152="Canceled",0,IFERROR(MAX(0,TODAY()-$B152),0))))</f>
        <v/>
      </c>
      <c r="AJ152" s="34" t="n"/>
    </row>
    <row r="153">
      <c r="A153" s="32" t="n"/>
      <c r="B153" s="33" t="n"/>
      <c r="C153" s="32" t="n"/>
      <c r="D153" s="32" t="n"/>
      <c r="E153" s="34" t="n"/>
      <c r="F153" s="32" t="n"/>
      <c r="G153" s="32" t="n"/>
      <c r="H153" s="32" t="n"/>
      <c r="I153" s="34" t="n"/>
      <c r="J153" s="60" t="n"/>
      <c r="K153" s="60" t="n"/>
      <c r="L153" s="32" t="n"/>
      <c r="M153" s="32" t="n"/>
      <c r="N153" s="32" t="n"/>
      <c r="O153" s="34" t="n"/>
      <c r="P153" s="34" t="n"/>
      <c r="Q153" s="36" t="n"/>
      <c r="R153" s="36" t="n"/>
      <c r="S153" s="36">
        <f>IF($A153="","",IFERROR(SUM($Q153:$R153),0))</f>
        <v/>
      </c>
      <c r="T153" s="36" t="n"/>
      <c r="U153" s="61" t="n"/>
      <c r="V153" s="61">
        <f>IF($A153="","",IFERROR($S153*'Settings'!$B$5,0))</f>
        <v/>
      </c>
      <c r="W153" s="32" t="n"/>
      <c r="X153" s="38" t="n"/>
      <c r="Y153" s="61">
        <f>IF($A153="","",IF(OR($W153="",$W153="None"),0,IFERROR($X153*VLOOKUP($W153,'Settings'!$A$15:$B$114,2,FALSE),0)))</f>
        <v/>
      </c>
      <c r="Z153" s="61">
        <f>IF($A153="","",IFERROR(SUM($U153,$V153,$Y153),0))</f>
        <v/>
      </c>
      <c r="AA153" s="61" t="n"/>
      <c r="AB153" s="61">
        <f>IF($A153="","",IFERROR($T153*'Settings'!$B$4,0))</f>
        <v/>
      </c>
      <c r="AC153" s="61" t="n"/>
      <c r="AD153" s="61">
        <f>IF($A153="","",IFERROR(SUM($AA153,$AB153,$AC153),0))</f>
        <v/>
      </c>
      <c r="AE153" s="61">
        <f>IF($A153="","",IFERROR($Z153-$AD153,0))</f>
        <v/>
      </c>
      <c r="AF153" s="39">
        <f>IF($A153="","",IFERROR($AE153/$Z153,0))</f>
        <v/>
      </c>
      <c r="AG153" s="32" t="n"/>
      <c r="AH153" s="33" t="n"/>
      <c r="AI153" s="40">
        <f>IF($A153="","",IF($C153="Delivered",IFERROR(MAX(0,$AH153-$B153),0),IF($C153="Canceled",0,IFERROR(MAX(0,TODAY()-$B153),0))))</f>
        <v/>
      </c>
      <c r="AJ153" s="34" t="n"/>
    </row>
    <row r="154">
      <c r="A154" s="32" t="n"/>
      <c r="B154" s="33" t="n"/>
      <c r="C154" s="32" t="n"/>
      <c r="D154" s="32" t="n"/>
      <c r="E154" s="34" t="n"/>
      <c r="F154" s="32" t="n"/>
      <c r="G154" s="32" t="n"/>
      <c r="H154" s="32" t="n"/>
      <c r="I154" s="34" t="n"/>
      <c r="J154" s="60" t="n"/>
      <c r="K154" s="60" t="n"/>
      <c r="L154" s="32" t="n"/>
      <c r="M154" s="32" t="n"/>
      <c r="N154" s="32" t="n"/>
      <c r="O154" s="34" t="n"/>
      <c r="P154" s="34" t="n"/>
      <c r="Q154" s="36" t="n"/>
      <c r="R154" s="36" t="n"/>
      <c r="S154" s="36">
        <f>IF($A154="","",IFERROR(SUM($Q154:$R154),0))</f>
        <v/>
      </c>
      <c r="T154" s="36" t="n"/>
      <c r="U154" s="61" t="n"/>
      <c r="V154" s="61">
        <f>IF($A154="","",IFERROR($S154*'Settings'!$B$5,0))</f>
        <v/>
      </c>
      <c r="W154" s="32" t="n"/>
      <c r="X154" s="38" t="n"/>
      <c r="Y154" s="61">
        <f>IF($A154="","",IF(OR($W154="",$W154="None"),0,IFERROR($X154*VLOOKUP($W154,'Settings'!$A$15:$B$114,2,FALSE),0)))</f>
        <v/>
      </c>
      <c r="Z154" s="61">
        <f>IF($A154="","",IFERROR(SUM($U154,$V154,$Y154),0))</f>
        <v/>
      </c>
      <c r="AA154" s="61" t="n"/>
      <c r="AB154" s="61">
        <f>IF($A154="","",IFERROR($T154*'Settings'!$B$4,0))</f>
        <v/>
      </c>
      <c r="AC154" s="61" t="n"/>
      <c r="AD154" s="61">
        <f>IF($A154="","",IFERROR(SUM($AA154,$AB154,$AC154),0))</f>
        <v/>
      </c>
      <c r="AE154" s="61">
        <f>IF($A154="","",IFERROR($Z154-$AD154,0))</f>
        <v/>
      </c>
      <c r="AF154" s="39">
        <f>IF($A154="","",IFERROR($AE154/$Z154,0))</f>
        <v/>
      </c>
      <c r="AG154" s="32" t="n"/>
      <c r="AH154" s="33" t="n"/>
      <c r="AI154" s="40">
        <f>IF($A154="","",IF($C154="Delivered",IFERROR(MAX(0,$AH154-$B154),0),IF($C154="Canceled",0,IFERROR(MAX(0,TODAY()-$B154),0))))</f>
        <v/>
      </c>
      <c r="AJ154" s="34" t="n"/>
    </row>
  </sheetData>
  <autoFilter ref="A4:AJ154"/>
  <mergeCells count="1">
    <mergeCell ref="A1:AJ1"/>
  </mergeCells>
  <conditionalFormatting sqref="A5:R154">
    <cfRule type="expression" priority="1" dxfId="1">
      <formula>$A5&lt;&gt;""</formula>
    </cfRule>
  </conditionalFormatting>
  <conditionalFormatting sqref="T5:U154">
    <cfRule type="expression" priority="2" dxfId="1">
      <formula>$A5&lt;&gt;""</formula>
    </cfRule>
  </conditionalFormatting>
  <conditionalFormatting sqref="W5:X154">
    <cfRule type="expression" priority="3" dxfId="1">
      <formula>$A5&lt;&gt;""</formula>
    </cfRule>
  </conditionalFormatting>
  <conditionalFormatting sqref="AA5:AA154">
    <cfRule type="expression" priority="4" dxfId="1">
      <formula>$A5&lt;&gt;""</formula>
    </cfRule>
  </conditionalFormatting>
  <conditionalFormatting sqref="AC5:AC154">
    <cfRule type="expression" priority="5" dxfId="1">
      <formula>$A5&lt;&gt;""</formula>
    </cfRule>
  </conditionalFormatting>
  <conditionalFormatting sqref="AG5:AH154">
    <cfRule type="expression" priority="6" dxfId="1">
      <formula>$A5&lt;&gt;""</formula>
    </cfRule>
  </conditionalFormatting>
  <conditionalFormatting sqref="AJ5:AJ154">
    <cfRule type="expression" priority="7" dxfId="1">
      <formula>$A5&lt;&gt;""</formula>
    </cfRule>
  </conditionalFormatting>
  <conditionalFormatting sqref="S5:S154">
    <cfRule type="expression" priority="8" dxfId="2">
      <formula>$A5&lt;&gt;""</formula>
    </cfRule>
  </conditionalFormatting>
  <conditionalFormatting sqref="V5:V154">
    <cfRule type="expression" priority="9" dxfId="2">
      <formula>$A5&lt;&gt;""</formula>
    </cfRule>
  </conditionalFormatting>
  <conditionalFormatting sqref="Y5:Z154">
    <cfRule type="expression" priority="10" dxfId="2">
      <formula>$A5&lt;&gt;""</formula>
    </cfRule>
  </conditionalFormatting>
  <conditionalFormatting sqref="AB5:AB154">
    <cfRule type="expression" priority="11" dxfId="2">
      <formula>$A5&lt;&gt;""</formula>
    </cfRule>
  </conditionalFormatting>
  <conditionalFormatting sqref="AD5:AF154">
    <cfRule type="expression" priority="12" dxfId="2">
      <formula>$A5&lt;&gt;""</formula>
    </cfRule>
  </conditionalFormatting>
  <conditionalFormatting sqref="AI5:AI154">
    <cfRule type="expression" priority="13" dxfId="2">
      <formula>$A5&lt;&gt;""</formula>
    </cfRule>
    <cfRule type="expression" priority="17" dxfId="0">
      <formula>AND($A5&lt;&gt;"",$C5&lt;&gt;"Delivered",$C5&lt;&gt;"Canceled",$AI5&gt;IFERROR(INDIRECT("'Settings'!$B$7"),0))</formula>
    </cfRule>
  </conditionalFormatting>
  <conditionalFormatting sqref="A5:AJ154">
    <cfRule type="expression" priority="14" dxfId="0" stopIfTrue="1">
      <formula>AND($A5&lt;&gt;"",$C5="Exception")</formula>
    </cfRule>
  </conditionalFormatting>
  <conditionalFormatting sqref="AF5:AF154">
    <cfRule type="expression" priority="15" dxfId="0">
      <formula>AND($A5&lt;&gt;"",$AF5&lt;IFERROR(INDIRECT("'Settings'!$B$6"),0))</formula>
    </cfRule>
  </conditionalFormatting>
  <conditionalFormatting sqref="AG5:AG154">
    <cfRule type="expression" priority="16" dxfId="0">
      <formula>AND($A5&lt;&gt;"",$AG5="No")</formula>
    </cfRule>
  </conditionalFormatting>
  <dataValidations count="13">
    <dataValidation sqref="C5:C154" showDropDown="0" showInputMessage="0" showErrorMessage="1" allowBlank="0" errorTitle="Select a listed value" error="Select a listed load status." type="list" errorStyle="stop">
      <formula1>INDIRECT("'Settings'!$H$4:$H$10")</formula1>
    </dataValidation>
    <dataValidation sqref="D5:D154" showDropDown="0" showInputMessage="0" showErrorMessage="1" allowBlank="0" errorTitle="Select a listed value" error="Select a listed priority." type="list" errorStyle="stop">
      <formula1>INDIRECT("'Settings'!$I$4:$I$6")</formula1>
    </dataValidation>
    <dataValidation sqref="E5:E154" showDropDown="0" showInputMessage="0" showErrorMessage="1" allowBlank="0" errorTitle="Select a listed value" error="Select a listed customer." type="list" errorStyle="stop">
      <formula1>INDIRECT("'Settings'!$M$4:$M$12")</formula1>
    </dataValidation>
    <dataValidation sqref="G5:G154" showDropDown="0" showInputMessage="0" showErrorMessage="1" allowBlank="0" errorTitle="Select a listed value" error="Select a listed container size." type="list" errorStyle="stop">
      <formula1>INDIRECT("'Settings'!$J$4:$J$6")</formula1>
    </dataValidation>
    <dataValidation sqref="H5:H154" showDropDown="0" showInputMessage="0" showErrorMessage="1" allowBlank="0" errorTitle="Select a listed value" error="Select a listed steamship line." type="list" errorStyle="stop">
      <formula1>INDIRECT("'Settings'!$O$4:$O$11")</formula1>
    </dataValidation>
    <dataValidation sqref="I5:I154" showDropDown="0" showInputMessage="0" showErrorMessage="1" allowBlank="0" errorTitle="Select a listed value" error="Select a listed terminal." type="list" errorStyle="stop">
      <formula1>INDIRECT("'Settings'!$L$4:$L$10")</formula1>
    </dataValidation>
    <dataValidation sqref="L5:L154" showDropDown="0" showInputMessage="0" showErrorMessage="1" allowBlank="0" errorTitle="Select a listed value" error="Select a listed driver." type="list" errorStyle="stop">
      <formula1>INDIRECT("'Settings'!$N$4:$N$12")</formula1>
    </dataValidation>
    <dataValidation sqref="W5:W154" showDropDown="0" showInputMessage="0" showErrorMessage="1" allowBlank="0" errorTitle="Select a listed value" error="Select an accessorial type from the editable catalog." type="list" errorStyle="stop">
      <formula1>INDIRECT("'Settings'!$A$15:$A$114")</formula1>
    </dataValidation>
    <dataValidation sqref="AG5:AG154" showDropDown="0" showInputMessage="0" showErrorMessage="1" allowBlank="0" errorTitle="Select a listed value" error="Select Yes or No after delivery." type="list" errorStyle="stop">
      <formula1>INDIRECT("'Settings'!$K$4:$K$5")</formula1>
    </dataValidation>
    <dataValidation sqref="A5:A154" showDropDown="0" showInputMessage="0" showErrorMessage="1" allowBlank="0" errorTitle="Duplicate Load ID" error="Each populated Load ID must be unique." type="custom" errorStyle="stop">
      <formula1>=OR(A5="",COUNTIF($A$5:$A$154,A5)=1)</formula1>
    </dataValidation>
    <dataValidation sqref="F5:F154" showDropDown="0" showInputMessage="0" showErrorMessage="1" allowBlank="0" errorTitle="Container Number" error="Use 15 characters or fewer." type="textLength" errorStyle="stop" operator="lessThanOrEqual">
      <formula1>15</formula1>
    </dataValidation>
    <dataValidation sqref="B5:B154 J5:K154 AH5:AH154" showDropDown="0" showInputMessage="0" showErrorMessage="1" allowBlank="0" errorTitle="Date outside planning range" error="Enter a date from 180 days before today through 365 days after today." type="date" errorStyle="stop" operator="between">
      <formula1>TODAY()-180</formula1>
      <formula2>TODAY()+365</formula2>
    </dataValidation>
    <dataValidation sqref="Q5:R154 T5:T154 U5:U154 X5:X154 AA5:AA154 AC5:AC154" showDropDown="0" showInputMessage="0" showErrorMessage="1" allowBlank="0" errorTitle="Nonnegative number required" error="Enter zero or a positive number.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/>
  </sheetPr>
  <dimension ref="A1:P114"/>
  <sheetViews>
    <sheetView showGridLines="0" zoomScale="85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48" customWidth="1" min="4" max="4"/>
    <col width="17" customWidth="1" min="5" max="5"/>
    <col width="3" customWidth="1" min="6" max="6"/>
    <col width="3" customWidth="1" min="7" max="7"/>
    <col width="16" customWidth="1" min="8" max="8"/>
    <col width="12" customWidth="1" min="9" max="9"/>
    <col width="16" customWidth="1" min="10" max="10"/>
    <col width="12" customWidth="1" min="11" max="11"/>
    <col width="30" customWidth="1" min="12" max="12"/>
    <col width="26" customWidth="1" min="13" max="13"/>
    <col width="20" customWidth="1" min="14" max="14"/>
    <col width="18" customWidth="1" min="15" max="15"/>
    <col width="16" customWidth="1" min="16" max="16"/>
  </cols>
  <sheetData>
    <row r="1" ht="32" customHeight="1">
      <c r="A1" s="1" t="inlineStr">
        <is>
          <t>Drayage Planning Settings</t>
        </is>
      </c>
    </row>
    <row r="2" ht="28" customHeight="1">
      <c r="A2" s="2" t="inlineStr">
        <is>
          <t>Edit planning rates, thresholds, and validation lists as operating conditions change. Values are workbook assumptions, not quotes or compliance standards.</t>
        </is>
      </c>
    </row>
    <row r="3">
      <c r="A3" s="13" t="inlineStr">
        <is>
          <t>Editable Assumption</t>
        </is>
      </c>
      <c r="B3" s="13" t="inlineStr">
        <is>
          <t>Value</t>
        </is>
      </c>
      <c r="C3" s="13" t="inlineStr">
        <is>
          <t>Unit</t>
        </is>
      </c>
      <c r="D3" s="14" t="inlineStr">
        <is>
          <t>Use in Workbook</t>
        </is>
      </c>
      <c r="H3" s="13" t="inlineStr">
        <is>
          <t>Status</t>
        </is>
      </c>
      <c r="I3" s="13" t="inlineStr">
        <is>
          <t>Priority</t>
        </is>
      </c>
      <c r="J3" s="13" t="inlineStr">
        <is>
          <t>Container Size</t>
        </is>
      </c>
      <c r="K3" s="13" t="inlineStr">
        <is>
          <t>Yes / No</t>
        </is>
      </c>
      <c r="L3" s="13" t="inlineStr">
        <is>
          <t>Terminal</t>
        </is>
      </c>
      <c r="M3" s="13" t="inlineStr">
        <is>
          <t>Customer</t>
        </is>
      </c>
      <c r="N3" s="13" t="inlineStr">
        <is>
          <t>Driver</t>
        </is>
      </c>
      <c r="O3" s="13" t="inlineStr">
        <is>
          <t>Steamship Line</t>
        </is>
      </c>
      <c r="P3" s="13" t="inlineStr">
        <is>
          <t>Rate Unit</t>
        </is>
      </c>
    </row>
    <row r="4">
      <c r="A4" s="41" t="inlineStr">
        <is>
          <t>Fuel price</t>
        </is>
      </c>
      <c r="B4" s="62" t="n">
        <v>4.45</v>
      </c>
      <c r="C4" s="41" t="inlineStr">
        <is>
          <t>per gallon</t>
        </is>
      </c>
      <c r="D4" s="43" t="inlineStr">
        <is>
          <t>Calculates estimated fuel cost from reported gallons.</t>
        </is>
      </c>
      <c r="H4" s="44" t="inlineStr">
        <is>
          <t>Scheduled</t>
        </is>
      </c>
      <c r="I4" s="44" t="inlineStr">
        <is>
          <t>Standard</t>
        </is>
      </c>
      <c r="J4" s="44" t="inlineStr">
        <is>
          <t>20'</t>
        </is>
      </c>
      <c r="K4" s="44" t="inlineStr">
        <is>
          <t>Yes</t>
        </is>
      </c>
      <c r="L4" s="44" t="inlineStr">
        <is>
          <t>APM Terminals Pier 400</t>
        </is>
      </c>
      <c r="M4" s="44" t="inlineStr">
        <is>
          <t>Harbor Retail Group</t>
        </is>
      </c>
      <c r="N4" s="44" t="inlineStr">
        <is>
          <t>Marcus Reed</t>
        </is>
      </c>
      <c r="O4" s="44" t="inlineStr">
        <is>
          <t>Maersk</t>
        </is>
      </c>
      <c r="P4" s="44" t="inlineStr">
        <is>
          <t>hour</t>
        </is>
      </c>
    </row>
    <row r="5">
      <c r="A5" s="41" t="inlineStr">
        <is>
          <t>Fuel surcharge</t>
        </is>
      </c>
      <c r="B5" s="62" t="n">
        <v>0.48</v>
      </c>
      <c r="C5" s="41" t="inlineStr">
        <is>
          <t>per mile</t>
        </is>
      </c>
      <c r="D5" s="43" t="inlineStr">
        <is>
          <t>Calculates fuel surcharge from total miles.</t>
        </is>
      </c>
      <c r="H5" s="44" t="inlineStr">
        <is>
          <t>Dispatched</t>
        </is>
      </c>
      <c r="I5" s="44" t="inlineStr">
        <is>
          <t>High</t>
        </is>
      </c>
      <c r="J5" s="44" t="inlineStr">
        <is>
          <t>40'</t>
        </is>
      </c>
      <c r="K5" s="44" t="inlineStr">
        <is>
          <t>No</t>
        </is>
      </c>
      <c r="L5" s="44" t="inlineStr">
        <is>
          <t>Fenix Marine Services</t>
        </is>
      </c>
      <c r="M5" s="44" t="inlineStr">
        <is>
          <t>Pacific Home Goods</t>
        </is>
      </c>
      <c r="N5" s="44" t="inlineStr">
        <is>
          <t>Elena Torres</t>
        </is>
      </c>
      <c r="O5" s="44" t="inlineStr">
        <is>
          <t>MSC</t>
        </is>
      </c>
      <c r="P5" s="44" t="inlineStr">
        <is>
          <t>occurrence</t>
        </is>
      </c>
    </row>
    <row r="6">
      <c r="A6" s="41" t="inlineStr">
        <is>
          <t>Target gross margin</t>
        </is>
      </c>
      <c r="B6" s="45" t="n">
        <v>0.22</v>
      </c>
      <c r="C6" s="41" t="inlineStr">
        <is>
          <t>percent</t>
        </is>
      </c>
      <c r="D6" s="43" t="inlineStr">
        <is>
          <t>Highlights loads below the planning target.</t>
        </is>
      </c>
      <c r="H6" s="44" t="inlineStr">
        <is>
          <t>At Terminal</t>
        </is>
      </c>
      <c r="I6" s="44" t="inlineStr">
        <is>
          <t>Critical</t>
        </is>
      </c>
      <c r="J6" s="44" t="inlineStr">
        <is>
          <t>40' HC</t>
        </is>
      </c>
      <c r="L6" s="44" t="inlineStr">
        <is>
          <t>TraPac Los Angeles</t>
        </is>
      </c>
      <c r="M6" s="44" t="inlineStr">
        <is>
          <t>Inland Distribution Co.</t>
        </is>
      </c>
      <c r="N6" s="44" t="inlineStr">
        <is>
          <t>Darnell Brooks</t>
        </is>
      </c>
      <c r="O6" s="44" t="inlineStr">
        <is>
          <t>CMA CGM</t>
        </is>
      </c>
      <c r="P6" s="44" t="inlineStr">
        <is>
          <t>day</t>
        </is>
      </c>
    </row>
    <row r="7">
      <c r="A7" s="41" t="inlineStr">
        <is>
          <t>Open-load alert</t>
        </is>
      </c>
      <c r="B7" s="46" t="n">
        <v>3</v>
      </c>
      <c r="C7" s="41" t="inlineStr">
        <is>
          <t>days</t>
        </is>
      </c>
      <c r="D7" s="43" t="inlineStr">
        <is>
          <t>Flags active loads open longer than this limit.</t>
        </is>
      </c>
      <c r="H7" s="44" t="inlineStr">
        <is>
          <t>In Transit</t>
        </is>
      </c>
      <c r="L7" s="44" t="inlineStr">
        <is>
          <t>Long Beach Container Terminal</t>
        </is>
      </c>
      <c r="M7" s="44" t="inlineStr">
        <is>
          <t>Westline Imports</t>
        </is>
      </c>
      <c r="N7" s="44" t="inlineStr">
        <is>
          <t>Sofia Nguyen</t>
        </is>
      </c>
      <c r="O7" s="44" t="inlineStr">
        <is>
          <t>COSCO</t>
        </is>
      </c>
      <c r="P7" s="44" t="inlineStr">
        <is>
          <t>stop</t>
        </is>
      </c>
    </row>
    <row r="8">
      <c r="A8" s="41" t="inlineStr">
        <is>
          <t>Planning fuel economy</t>
        </is>
      </c>
      <c r="B8" s="63" t="n">
        <v>5.8</v>
      </c>
      <c r="C8" s="41" t="inlineStr">
        <is>
          <t>miles per gallon</t>
        </is>
      </c>
      <c r="D8" s="43" t="inlineStr">
        <is>
          <t>Reference assumption for manual planning.</t>
        </is>
      </c>
      <c r="H8" s="44" t="inlineStr">
        <is>
          <t>Delivered</t>
        </is>
      </c>
      <c r="L8" s="44" t="inlineStr">
        <is>
          <t>Pier T</t>
        </is>
      </c>
      <c r="M8" s="44" t="inlineStr">
        <is>
          <t>Summit Outdoor Supply</t>
        </is>
      </c>
      <c r="N8" s="44" t="inlineStr">
        <is>
          <t>Caleb Johnson</t>
        </is>
      </c>
      <c r="O8" s="44" t="inlineStr">
        <is>
          <t>Hapag-Lloyd</t>
        </is>
      </c>
      <c r="P8" s="44" t="inlineStr">
        <is>
          <t>each</t>
        </is>
      </c>
    </row>
    <row r="9">
      <c r="A9" s="41" t="inlineStr">
        <is>
          <t>Cost review threshold</t>
        </is>
      </c>
      <c r="B9" s="62" t="n">
        <v>50</v>
      </c>
      <c r="C9" s="41" t="inlineStr">
        <is>
          <t>U.S. dollars</t>
        </is>
      </c>
      <c r="D9" s="43" t="inlineStr">
        <is>
          <t>Reference amount for manual cost review.</t>
        </is>
      </c>
      <c r="H9" s="44" t="inlineStr">
        <is>
          <t>Exception</t>
        </is>
      </c>
      <c r="L9" s="44" t="inlineStr">
        <is>
          <t>SSA Marine Pier A</t>
        </is>
      </c>
      <c r="M9" s="44" t="inlineStr">
        <is>
          <t>Metro Food Service</t>
        </is>
      </c>
      <c r="N9" s="44" t="inlineStr">
        <is>
          <t>Jordan Kim</t>
        </is>
      </c>
      <c r="O9" s="44" t="inlineStr">
        <is>
          <t>ONE</t>
        </is>
      </c>
    </row>
    <row r="10">
      <c r="H10" s="44" t="inlineStr">
        <is>
          <t>Canceled</t>
        </is>
      </c>
      <c r="L10" s="44" t="inlineStr">
        <is>
          <t>Total Terminals International</t>
        </is>
      </c>
      <c r="M10" s="44" t="inlineStr">
        <is>
          <t>Canyon Auto Parts</t>
        </is>
      </c>
      <c r="N10" s="44" t="inlineStr">
        <is>
          <t>Avery Williams</t>
        </is>
      </c>
      <c r="O10" s="44" t="inlineStr">
        <is>
          <t>Evergreen</t>
        </is>
      </c>
    </row>
    <row r="11">
      <c r="M11" s="44" t="inlineStr">
        <is>
          <t>Golden State Fixtures</t>
        </is>
      </c>
      <c r="N11" s="44" t="inlineStr">
        <is>
          <t>Luis Martinez</t>
        </is>
      </c>
      <c r="O11" s="44" t="inlineStr">
        <is>
          <t>Yang Ming</t>
        </is>
      </c>
    </row>
    <row r="12">
      <c r="A12" s="12" t="inlineStr">
        <is>
          <t>Accessorial Rate Catalog</t>
        </is>
      </c>
      <c r="M12" s="44" t="inlineStr">
        <is>
          <t>Northstar Packaging</t>
        </is>
      </c>
      <c r="N12" s="44" t="inlineStr">
        <is>
          <t>Renee Carter</t>
        </is>
      </c>
    </row>
    <row r="13">
      <c r="A13" s="48" t="inlineStr">
        <is>
          <t>Rows 15 through 114 are prepared for editable accessorial types. Rates are multiplied by the quantity or hours entered on Dispatch.</t>
        </is>
      </c>
    </row>
    <row r="14" ht="32" customHeight="1">
      <c r="A14" s="13" t="inlineStr">
        <is>
          <t>Accessorial Type</t>
        </is>
      </c>
      <c r="B14" s="13" t="inlineStr">
        <is>
          <t>Rate</t>
        </is>
      </c>
      <c r="C14" s="13" t="inlineStr">
        <is>
          <t>Unit</t>
        </is>
      </c>
      <c r="D14" s="13" t="inlineStr">
        <is>
          <t>Planning Note</t>
        </is>
      </c>
      <c r="E14" s="14" t="inlineStr">
        <is>
          <t>Catalog Status</t>
        </is>
      </c>
    </row>
    <row r="15">
      <c r="A15" s="41" t="inlineStr">
        <is>
          <t>None</t>
        </is>
      </c>
      <c r="B15" s="62" t="n">
        <v>0</v>
      </c>
      <c r="C15" s="41" t="inlineStr">
        <is>
          <t>each</t>
        </is>
      </c>
      <c r="D15" s="23" t="inlineStr">
        <is>
          <t>Use when no accessorial applies.</t>
        </is>
      </c>
      <c r="E15" s="49">
        <f>IF($A15="","",IF($B15="","Missing rate","Ready"))</f>
        <v/>
      </c>
    </row>
    <row r="16">
      <c r="A16" s="41" t="inlineStr">
        <is>
          <t>Detention</t>
        </is>
      </c>
      <c r="B16" s="62" t="n">
        <v>85</v>
      </c>
      <c r="C16" s="41" t="inlineStr">
        <is>
          <t>hour</t>
        </is>
      </c>
      <c r="D16" s="23" t="inlineStr">
        <is>
          <t>Multiply by approved detention hours.</t>
        </is>
      </c>
      <c r="E16" s="49">
        <f>IF($A16="","",IF($B16="","Missing rate","Ready"))</f>
        <v/>
      </c>
    </row>
    <row r="17">
      <c r="A17" s="41" t="inlineStr">
        <is>
          <t>Chassis Split</t>
        </is>
      </c>
      <c r="B17" s="62" t="n">
        <v>125</v>
      </c>
      <c r="C17" s="41" t="inlineStr">
        <is>
          <t>occurrence</t>
        </is>
      </c>
      <c r="D17" s="23" t="inlineStr">
        <is>
          <t>Use one unit for each split.</t>
        </is>
      </c>
      <c r="E17" s="49">
        <f>IF($A17="","",IF($B17="","Missing rate","Ready"))</f>
        <v/>
      </c>
    </row>
    <row r="18">
      <c r="A18" s="41" t="inlineStr">
        <is>
          <t>Pre-Pull</t>
        </is>
      </c>
      <c r="B18" s="62" t="n">
        <v>150</v>
      </c>
      <c r="C18" s="41" t="inlineStr">
        <is>
          <t>occurrence</t>
        </is>
      </c>
      <c r="D18" s="23" t="inlineStr">
        <is>
          <t>Use one unit for each pre-pull.</t>
        </is>
      </c>
      <c r="E18" s="49">
        <f>IF($A18="","",IF($B18="","Missing rate","Ready"))</f>
        <v/>
      </c>
    </row>
    <row r="19">
      <c r="A19" s="41" t="inlineStr">
        <is>
          <t>Storage</t>
        </is>
      </c>
      <c r="B19" s="62" t="n">
        <v>95</v>
      </c>
      <c r="C19" s="41" t="inlineStr">
        <is>
          <t>day</t>
        </is>
      </c>
      <c r="D19" s="23" t="inlineStr">
        <is>
          <t>Multiply by the reviewed storage days.</t>
        </is>
      </c>
      <c r="E19" s="49">
        <f>IF($A19="","",IF($B19="","Missing rate","Ready"))</f>
        <v/>
      </c>
    </row>
    <row r="20">
      <c r="A20" s="41" t="inlineStr">
        <is>
          <t>Layover</t>
        </is>
      </c>
      <c r="B20" s="62" t="n">
        <v>350</v>
      </c>
      <c r="C20" s="41" t="inlineStr">
        <is>
          <t>day</t>
        </is>
      </c>
      <c r="D20" s="23" t="inlineStr">
        <is>
          <t>Multiply by the reviewed layover days.</t>
        </is>
      </c>
      <c r="E20" s="49">
        <f>IF($A20="","",IF($B20="","Missing rate","Ready"))</f>
        <v/>
      </c>
    </row>
    <row r="21">
      <c r="A21" s="41" t="inlineStr">
        <is>
          <t>Stop-Off</t>
        </is>
      </c>
      <c r="B21" s="62" t="n">
        <v>75</v>
      </c>
      <c r="C21" s="41" t="inlineStr">
        <is>
          <t>stop</t>
        </is>
      </c>
      <c r="D21" s="23" t="inlineStr">
        <is>
          <t>Multiply by the additional stop count.</t>
        </is>
      </c>
      <c r="E21" s="49">
        <f>IF($A21="","",IF($B21="","Missing rate","Ready"))</f>
        <v/>
      </c>
    </row>
    <row r="22">
      <c r="A22" s="41" t="inlineStr">
        <is>
          <t>Scale Ticket</t>
        </is>
      </c>
      <c r="B22" s="62" t="n">
        <v>45</v>
      </c>
      <c r="C22" s="41" t="inlineStr">
        <is>
          <t>occurrence</t>
        </is>
      </c>
      <c r="D22" s="23" t="inlineStr">
        <is>
          <t>Use one unit when a scale charge applies.</t>
        </is>
      </c>
      <c r="E22" s="49">
        <f>IF($A22="","",IF($B22="","Missing rate","Ready"))</f>
        <v/>
      </c>
    </row>
    <row r="23">
      <c r="B23" s="64" t="n"/>
      <c r="D23" s="34" t="n"/>
      <c r="E23" s="51">
        <f>IF($A23="","",IF($B23="","Missing rate","Ready"))</f>
        <v/>
      </c>
    </row>
    <row r="24">
      <c r="B24" s="64" t="n"/>
      <c r="D24" s="34" t="n"/>
      <c r="E24" s="51">
        <f>IF($A24="","",IF($B24="","Missing rate","Ready"))</f>
        <v/>
      </c>
    </row>
    <row r="25">
      <c r="B25" s="64" t="n"/>
      <c r="D25" s="34" t="n"/>
      <c r="E25" s="51">
        <f>IF($A25="","",IF($B25="","Missing rate","Ready"))</f>
        <v/>
      </c>
    </row>
    <row r="26">
      <c r="B26" s="64" t="n"/>
      <c r="D26" s="34" t="n"/>
      <c r="E26" s="51">
        <f>IF($A26="","",IF($B26="","Missing rate","Ready"))</f>
        <v/>
      </c>
    </row>
    <row r="27">
      <c r="B27" s="64" t="n"/>
      <c r="D27" s="34" t="n"/>
      <c r="E27" s="51">
        <f>IF($A27="","",IF($B27="","Missing rate","Ready"))</f>
        <v/>
      </c>
    </row>
    <row r="28">
      <c r="B28" s="64" t="n"/>
      <c r="D28" s="34" t="n"/>
      <c r="E28" s="51">
        <f>IF($A28="","",IF($B28="","Missing rate","Ready"))</f>
        <v/>
      </c>
    </row>
    <row r="29">
      <c r="B29" s="64" t="n"/>
      <c r="D29" s="34" t="n"/>
      <c r="E29" s="51">
        <f>IF($A29="","",IF($B29="","Missing rate","Ready"))</f>
        <v/>
      </c>
    </row>
    <row r="30">
      <c r="B30" s="64" t="n"/>
      <c r="D30" s="34" t="n"/>
      <c r="E30" s="51">
        <f>IF($A30="","",IF($B30="","Missing rate","Ready"))</f>
        <v/>
      </c>
    </row>
    <row r="31">
      <c r="B31" s="64" t="n"/>
      <c r="D31" s="34" t="n"/>
      <c r="E31" s="51">
        <f>IF($A31="","",IF($B31="","Missing rate","Ready"))</f>
        <v/>
      </c>
    </row>
    <row r="32">
      <c r="B32" s="64" t="n"/>
      <c r="D32" s="34" t="n"/>
      <c r="E32" s="51">
        <f>IF($A32="","",IF($B32="","Missing rate","Ready"))</f>
        <v/>
      </c>
    </row>
    <row r="33">
      <c r="B33" s="64" t="n"/>
      <c r="D33" s="34" t="n"/>
      <c r="E33" s="51">
        <f>IF($A33="","",IF($B33="","Missing rate","Ready"))</f>
        <v/>
      </c>
    </row>
    <row r="34">
      <c r="B34" s="64" t="n"/>
      <c r="D34" s="34" t="n"/>
      <c r="E34" s="51">
        <f>IF($A34="","",IF($B34="","Missing rate","Ready"))</f>
        <v/>
      </c>
    </row>
    <row r="35">
      <c r="B35" s="64" t="n"/>
      <c r="D35" s="34" t="n"/>
      <c r="E35" s="51">
        <f>IF($A35="","",IF($B35="","Missing rate","Ready"))</f>
        <v/>
      </c>
    </row>
    <row r="36">
      <c r="B36" s="64" t="n"/>
      <c r="D36" s="34" t="n"/>
      <c r="E36" s="51">
        <f>IF($A36="","",IF($B36="","Missing rate","Ready"))</f>
        <v/>
      </c>
    </row>
    <row r="37">
      <c r="B37" s="64" t="n"/>
      <c r="D37" s="34" t="n"/>
      <c r="E37" s="51">
        <f>IF($A37="","",IF($B37="","Missing rate","Ready"))</f>
        <v/>
      </c>
    </row>
    <row r="38">
      <c r="B38" s="64" t="n"/>
      <c r="D38" s="34" t="n"/>
      <c r="E38" s="51">
        <f>IF($A38="","",IF($B38="","Missing rate","Ready"))</f>
        <v/>
      </c>
    </row>
    <row r="39">
      <c r="B39" s="64" t="n"/>
      <c r="D39" s="34" t="n"/>
      <c r="E39" s="51">
        <f>IF($A39="","",IF($B39="","Missing rate","Ready"))</f>
        <v/>
      </c>
    </row>
    <row r="40">
      <c r="B40" s="64" t="n"/>
      <c r="D40" s="34" t="n"/>
      <c r="E40" s="51">
        <f>IF($A40="","",IF($B40="","Missing rate","Ready"))</f>
        <v/>
      </c>
    </row>
    <row r="41">
      <c r="B41" s="64" t="n"/>
      <c r="D41" s="34" t="n"/>
      <c r="E41" s="51">
        <f>IF($A41="","",IF($B41="","Missing rate","Ready"))</f>
        <v/>
      </c>
    </row>
    <row r="42">
      <c r="B42" s="64" t="n"/>
      <c r="D42" s="34" t="n"/>
      <c r="E42" s="51">
        <f>IF($A42="","",IF($B42="","Missing rate","Ready"))</f>
        <v/>
      </c>
    </row>
    <row r="43">
      <c r="B43" s="64" t="n"/>
      <c r="D43" s="34" t="n"/>
      <c r="E43" s="51">
        <f>IF($A43="","",IF($B43="","Missing rate","Ready"))</f>
        <v/>
      </c>
    </row>
    <row r="44">
      <c r="B44" s="64" t="n"/>
      <c r="D44" s="34" t="n"/>
      <c r="E44" s="51">
        <f>IF($A44="","",IF($B44="","Missing rate","Ready"))</f>
        <v/>
      </c>
    </row>
    <row r="45">
      <c r="B45" s="64" t="n"/>
      <c r="D45" s="34" t="n"/>
      <c r="E45" s="51">
        <f>IF($A45="","",IF($B45="","Missing rate","Ready"))</f>
        <v/>
      </c>
    </row>
    <row r="46">
      <c r="B46" s="64" t="n"/>
      <c r="D46" s="34" t="n"/>
      <c r="E46" s="51">
        <f>IF($A46="","",IF($B46="","Missing rate","Ready"))</f>
        <v/>
      </c>
    </row>
    <row r="47">
      <c r="B47" s="64" t="n"/>
      <c r="D47" s="34" t="n"/>
      <c r="E47" s="51">
        <f>IF($A47="","",IF($B47="","Missing rate","Ready"))</f>
        <v/>
      </c>
    </row>
    <row r="48">
      <c r="B48" s="64" t="n"/>
      <c r="D48" s="34" t="n"/>
      <c r="E48" s="51">
        <f>IF($A48="","",IF($B48="","Missing rate","Ready"))</f>
        <v/>
      </c>
    </row>
    <row r="49">
      <c r="B49" s="64" t="n"/>
      <c r="D49" s="34" t="n"/>
      <c r="E49" s="51">
        <f>IF($A49="","",IF($B49="","Missing rate","Ready"))</f>
        <v/>
      </c>
    </row>
    <row r="50">
      <c r="B50" s="64" t="n"/>
      <c r="D50" s="34" t="n"/>
      <c r="E50" s="51">
        <f>IF($A50="","",IF($B50="","Missing rate","Ready"))</f>
        <v/>
      </c>
    </row>
    <row r="51">
      <c r="B51" s="64" t="n"/>
      <c r="D51" s="34" t="n"/>
      <c r="E51" s="51">
        <f>IF($A51="","",IF($B51="","Missing rate","Ready"))</f>
        <v/>
      </c>
    </row>
    <row r="52">
      <c r="B52" s="64" t="n"/>
      <c r="D52" s="34" t="n"/>
      <c r="E52" s="51">
        <f>IF($A52="","",IF($B52="","Missing rate","Ready"))</f>
        <v/>
      </c>
    </row>
    <row r="53">
      <c r="B53" s="64" t="n"/>
      <c r="D53" s="34" t="n"/>
      <c r="E53" s="51">
        <f>IF($A53="","",IF($B53="","Missing rate","Ready"))</f>
        <v/>
      </c>
    </row>
    <row r="54">
      <c r="B54" s="64" t="n"/>
      <c r="D54" s="34" t="n"/>
      <c r="E54" s="51">
        <f>IF($A54="","",IF($B54="","Missing rate","Ready"))</f>
        <v/>
      </c>
    </row>
    <row r="55">
      <c r="B55" s="64" t="n"/>
      <c r="D55" s="34" t="n"/>
      <c r="E55" s="51">
        <f>IF($A55="","",IF($B55="","Missing rate","Ready"))</f>
        <v/>
      </c>
    </row>
    <row r="56">
      <c r="B56" s="64" t="n"/>
      <c r="D56" s="34" t="n"/>
      <c r="E56" s="51">
        <f>IF($A56="","",IF($B56="","Missing rate","Ready"))</f>
        <v/>
      </c>
    </row>
    <row r="57">
      <c r="B57" s="64" t="n"/>
      <c r="D57" s="34" t="n"/>
      <c r="E57" s="51">
        <f>IF($A57="","",IF($B57="","Missing rate","Ready"))</f>
        <v/>
      </c>
    </row>
    <row r="58">
      <c r="B58" s="64" t="n"/>
      <c r="D58" s="34" t="n"/>
      <c r="E58" s="51">
        <f>IF($A58="","",IF($B58="","Missing rate","Ready"))</f>
        <v/>
      </c>
    </row>
    <row r="59">
      <c r="B59" s="64" t="n"/>
      <c r="D59" s="34" t="n"/>
      <c r="E59" s="51">
        <f>IF($A59="","",IF($B59="","Missing rate","Ready"))</f>
        <v/>
      </c>
    </row>
    <row r="60">
      <c r="B60" s="64" t="n"/>
      <c r="D60" s="34" t="n"/>
      <c r="E60" s="51">
        <f>IF($A60="","",IF($B60="","Missing rate","Ready"))</f>
        <v/>
      </c>
    </row>
    <row r="61">
      <c r="B61" s="64" t="n"/>
      <c r="D61" s="34" t="n"/>
      <c r="E61" s="51">
        <f>IF($A61="","",IF($B61="","Missing rate","Ready"))</f>
        <v/>
      </c>
    </row>
    <row r="62">
      <c r="B62" s="64" t="n"/>
      <c r="D62" s="34" t="n"/>
      <c r="E62" s="51">
        <f>IF($A62="","",IF($B62="","Missing rate","Ready"))</f>
        <v/>
      </c>
    </row>
    <row r="63">
      <c r="B63" s="64" t="n"/>
      <c r="D63" s="34" t="n"/>
      <c r="E63" s="51">
        <f>IF($A63="","",IF($B63="","Missing rate","Ready"))</f>
        <v/>
      </c>
    </row>
    <row r="64">
      <c r="B64" s="64" t="n"/>
      <c r="D64" s="34" t="n"/>
      <c r="E64" s="51">
        <f>IF($A64="","",IF($B64="","Missing rate","Ready"))</f>
        <v/>
      </c>
    </row>
    <row r="65">
      <c r="B65" s="64" t="n"/>
      <c r="D65" s="34" t="n"/>
      <c r="E65" s="51">
        <f>IF($A65="","",IF($B65="","Missing rate","Ready"))</f>
        <v/>
      </c>
    </row>
    <row r="66">
      <c r="B66" s="64" t="n"/>
      <c r="D66" s="34" t="n"/>
      <c r="E66" s="51">
        <f>IF($A66="","",IF($B66="","Missing rate","Ready"))</f>
        <v/>
      </c>
    </row>
    <row r="67">
      <c r="B67" s="64" t="n"/>
      <c r="D67" s="34" t="n"/>
      <c r="E67" s="51">
        <f>IF($A67="","",IF($B67="","Missing rate","Ready"))</f>
        <v/>
      </c>
    </row>
    <row r="68">
      <c r="B68" s="64" t="n"/>
      <c r="D68" s="34" t="n"/>
      <c r="E68" s="51">
        <f>IF($A68="","",IF($B68="","Missing rate","Ready"))</f>
        <v/>
      </c>
    </row>
    <row r="69">
      <c r="B69" s="64" t="n"/>
      <c r="D69" s="34" t="n"/>
      <c r="E69" s="51">
        <f>IF($A69="","",IF($B69="","Missing rate","Ready"))</f>
        <v/>
      </c>
    </row>
    <row r="70">
      <c r="B70" s="64" t="n"/>
      <c r="D70" s="34" t="n"/>
      <c r="E70" s="51">
        <f>IF($A70="","",IF($B70="","Missing rate","Ready"))</f>
        <v/>
      </c>
    </row>
    <row r="71">
      <c r="B71" s="64" t="n"/>
      <c r="D71" s="34" t="n"/>
      <c r="E71" s="51">
        <f>IF($A71="","",IF($B71="","Missing rate","Ready"))</f>
        <v/>
      </c>
    </row>
    <row r="72">
      <c r="B72" s="64" t="n"/>
      <c r="D72" s="34" t="n"/>
      <c r="E72" s="51">
        <f>IF($A72="","",IF($B72="","Missing rate","Ready"))</f>
        <v/>
      </c>
    </row>
    <row r="73">
      <c r="B73" s="64" t="n"/>
      <c r="D73" s="34" t="n"/>
      <c r="E73" s="51">
        <f>IF($A73="","",IF($B73="","Missing rate","Ready"))</f>
        <v/>
      </c>
    </row>
    <row r="74">
      <c r="B74" s="64" t="n"/>
      <c r="D74" s="34" t="n"/>
      <c r="E74" s="51">
        <f>IF($A74="","",IF($B74="","Missing rate","Ready"))</f>
        <v/>
      </c>
    </row>
    <row r="75">
      <c r="B75" s="64" t="n"/>
      <c r="D75" s="34" t="n"/>
      <c r="E75" s="51">
        <f>IF($A75="","",IF($B75="","Missing rate","Ready"))</f>
        <v/>
      </c>
    </row>
    <row r="76">
      <c r="B76" s="64" t="n"/>
      <c r="D76" s="34" t="n"/>
      <c r="E76" s="51">
        <f>IF($A76="","",IF($B76="","Missing rate","Ready"))</f>
        <v/>
      </c>
    </row>
    <row r="77">
      <c r="B77" s="64" t="n"/>
      <c r="D77" s="34" t="n"/>
      <c r="E77" s="51">
        <f>IF($A77="","",IF($B77="","Missing rate","Ready"))</f>
        <v/>
      </c>
    </row>
    <row r="78">
      <c r="B78" s="64" t="n"/>
      <c r="D78" s="34" t="n"/>
      <c r="E78" s="51">
        <f>IF($A78="","",IF($B78="","Missing rate","Ready"))</f>
        <v/>
      </c>
    </row>
    <row r="79">
      <c r="B79" s="64" t="n"/>
      <c r="D79" s="34" t="n"/>
      <c r="E79" s="51">
        <f>IF($A79="","",IF($B79="","Missing rate","Ready"))</f>
        <v/>
      </c>
    </row>
    <row r="80">
      <c r="B80" s="64" t="n"/>
      <c r="D80" s="34" t="n"/>
      <c r="E80" s="51">
        <f>IF($A80="","",IF($B80="","Missing rate","Ready"))</f>
        <v/>
      </c>
    </row>
    <row r="81">
      <c r="B81" s="64" t="n"/>
      <c r="D81" s="34" t="n"/>
      <c r="E81" s="51">
        <f>IF($A81="","",IF($B81="","Missing rate","Ready"))</f>
        <v/>
      </c>
    </row>
    <row r="82">
      <c r="B82" s="64" t="n"/>
      <c r="D82" s="34" t="n"/>
      <c r="E82" s="51">
        <f>IF($A82="","",IF($B82="","Missing rate","Ready"))</f>
        <v/>
      </c>
    </row>
    <row r="83">
      <c r="B83" s="64" t="n"/>
      <c r="D83" s="34" t="n"/>
      <c r="E83" s="51">
        <f>IF($A83="","",IF($B83="","Missing rate","Ready"))</f>
        <v/>
      </c>
    </row>
    <row r="84">
      <c r="B84" s="64" t="n"/>
      <c r="D84" s="34" t="n"/>
      <c r="E84" s="51">
        <f>IF($A84="","",IF($B84="","Missing rate","Ready"))</f>
        <v/>
      </c>
    </row>
    <row r="85">
      <c r="B85" s="64" t="n"/>
      <c r="D85" s="34" t="n"/>
      <c r="E85" s="51">
        <f>IF($A85="","",IF($B85="","Missing rate","Ready"))</f>
        <v/>
      </c>
    </row>
    <row r="86">
      <c r="B86" s="64" t="n"/>
      <c r="D86" s="34" t="n"/>
      <c r="E86" s="51">
        <f>IF($A86="","",IF($B86="","Missing rate","Ready"))</f>
        <v/>
      </c>
    </row>
    <row r="87">
      <c r="B87" s="64" t="n"/>
      <c r="D87" s="34" t="n"/>
      <c r="E87" s="51">
        <f>IF($A87="","",IF($B87="","Missing rate","Ready"))</f>
        <v/>
      </c>
    </row>
    <row r="88">
      <c r="B88" s="64" t="n"/>
      <c r="D88" s="34" t="n"/>
      <c r="E88" s="51">
        <f>IF($A88="","",IF($B88="","Missing rate","Ready"))</f>
        <v/>
      </c>
    </row>
    <row r="89">
      <c r="B89" s="64" t="n"/>
      <c r="D89" s="34" t="n"/>
      <c r="E89" s="51">
        <f>IF($A89="","",IF($B89="","Missing rate","Ready"))</f>
        <v/>
      </c>
    </row>
    <row r="90">
      <c r="B90" s="64" t="n"/>
      <c r="D90" s="34" t="n"/>
      <c r="E90" s="51">
        <f>IF($A90="","",IF($B90="","Missing rate","Ready"))</f>
        <v/>
      </c>
    </row>
    <row r="91">
      <c r="B91" s="64" t="n"/>
      <c r="D91" s="34" t="n"/>
      <c r="E91" s="51">
        <f>IF($A91="","",IF($B91="","Missing rate","Ready"))</f>
        <v/>
      </c>
    </row>
    <row r="92">
      <c r="B92" s="64" t="n"/>
      <c r="D92" s="34" t="n"/>
      <c r="E92" s="51">
        <f>IF($A92="","",IF($B92="","Missing rate","Ready"))</f>
        <v/>
      </c>
    </row>
    <row r="93">
      <c r="B93" s="64" t="n"/>
      <c r="D93" s="34" t="n"/>
      <c r="E93" s="51">
        <f>IF($A93="","",IF($B93="","Missing rate","Ready"))</f>
        <v/>
      </c>
    </row>
    <row r="94">
      <c r="B94" s="64" t="n"/>
      <c r="D94" s="34" t="n"/>
      <c r="E94" s="51">
        <f>IF($A94="","",IF($B94="","Missing rate","Ready"))</f>
        <v/>
      </c>
    </row>
    <row r="95">
      <c r="B95" s="64" t="n"/>
      <c r="D95" s="34" t="n"/>
      <c r="E95" s="51">
        <f>IF($A95="","",IF($B95="","Missing rate","Ready"))</f>
        <v/>
      </c>
    </row>
    <row r="96">
      <c r="B96" s="64" t="n"/>
      <c r="D96" s="34" t="n"/>
      <c r="E96" s="51">
        <f>IF($A96="","",IF($B96="","Missing rate","Ready"))</f>
        <v/>
      </c>
    </row>
    <row r="97">
      <c r="B97" s="64" t="n"/>
      <c r="D97" s="34" t="n"/>
      <c r="E97" s="51">
        <f>IF($A97="","",IF($B97="","Missing rate","Ready"))</f>
        <v/>
      </c>
    </row>
    <row r="98">
      <c r="B98" s="64" t="n"/>
      <c r="D98" s="34" t="n"/>
      <c r="E98" s="51">
        <f>IF($A98="","",IF($B98="","Missing rate","Ready"))</f>
        <v/>
      </c>
    </row>
    <row r="99">
      <c r="B99" s="64" t="n"/>
      <c r="D99" s="34" t="n"/>
      <c r="E99" s="51">
        <f>IF($A99="","",IF($B99="","Missing rate","Ready"))</f>
        <v/>
      </c>
    </row>
    <row r="100">
      <c r="B100" s="64" t="n"/>
      <c r="D100" s="34" t="n"/>
      <c r="E100" s="51">
        <f>IF($A100="","",IF($B100="","Missing rate","Ready"))</f>
        <v/>
      </c>
    </row>
    <row r="101">
      <c r="B101" s="64" t="n"/>
      <c r="D101" s="34" t="n"/>
      <c r="E101" s="51">
        <f>IF($A101="","",IF($B101="","Missing rate","Ready"))</f>
        <v/>
      </c>
    </row>
    <row r="102">
      <c r="B102" s="64" t="n"/>
      <c r="D102" s="34" t="n"/>
      <c r="E102" s="51">
        <f>IF($A102="","",IF($B102="","Missing rate","Ready"))</f>
        <v/>
      </c>
    </row>
    <row r="103">
      <c r="B103" s="64" t="n"/>
      <c r="D103" s="34" t="n"/>
      <c r="E103" s="51">
        <f>IF($A103="","",IF($B103="","Missing rate","Ready"))</f>
        <v/>
      </c>
    </row>
    <row r="104">
      <c r="B104" s="64" t="n"/>
      <c r="D104" s="34" t="n"/>
      <c r="E104" s="51">
        <f>IF($A104="","",IF($B104="","Missing rate","Ready"))</f>
        <v/>
      </c>
    </row>
    <row r="105">
      <c r="B105" s="64" t="n"/>
      <c r="D105" s="34" t="n"/>
      <c r="E105" s="51">
        <f>IF($A105="","",IF($B105="","Missing rate","Ready"))</f>
        <v/>
      </c>
    </row>
    <row r="106">
      <c r="B106" s="64" t="n"/>
      <c r="D106" s="34" t="n"/>
      <c r="E106" s="51">
        <f>IF($A106="","",IF($B106="","Missing rate","Ready"))</f>
        <v/>
      </c>
    </row>
    <row r="107">
      <c r="B107" s="64" t="n"/>
      <c r="D107" s="34" t="n"/>
      <c r="E107" s="51">
        <f>IF($A107="","",IF($B107="","Missing rate","Ready"))</f>
        <v/>
      </c>
    </row>
    <row r="108">
      <c r="B108" s="64" t="n"/>
      <c r="D108" s="34" t="n"/>
      <c r="E108" s="51">
        <f>IF($A108="","",IF($B108="","Missing rate","Ready"))</f>
        <v/>
      </c>
    </row>
    <row r="109">
      <c r="B109" s="64" t="n"/>
      <c r="D109" s="34" t="n"/>
      <c r="E109" s="51">
        <f>IF($A109="","",IF($B109="","Missing rate","Ready"))</f>
        <v/>
      </c>
    </row>
    <row r="110">
      <c r="B110" s="64" t="n"/>
      <c r="D110" s="34" t="n"/>
      <c r="E110" s="51">
        <f>IF($A110="","",IF($B110="","Missing rate","Ready"))</f>
        <v/>
      </c>
    </row>
    <row r="111">
      <c r="B111" s="64" t="n"/>
      <c r="D111" s="34" t="n"/>
      <c r="E111" s="51">
        <f>IF($A111="","",IF($B111="","Missing rate","Ready"))</f>
        <v/>
      </c>
    </row>
    <row r="112">
      <c r="B112" s="64" t="n"/>
      <c r="D112" s="34" t="n"/>
      <c r="E112" s="51">
        <f>IF($A112="","",IF($B112="","Missing rate","Ready"))</f>
        <v/>
      </c>
    </row>
    <row r="113">
      <c r="B113" s="64" t="n"/>
      <c r="D113" s="34" t="n"/>
      <c r="E113" s="51">
        <f>IF($A113="","",IF($B113="","Missing rate","Ready"))</f>
        <v/>
      </c>
    </row>
    <row r="114">
      <c r="B114" s="64" t="n"/>
      <c r="D114" s="34" t="n"/>
      <c r="E114" s="51">
        <f>IF($A114="","",IF($B114="","Missing rate","Ready"))</f>
        <v/>
      </c>
    </row>
  </sheetData>
  <autoFilter ref="A14:E114"/>
  <mergeCells count="1">
    <mergeCell ref="A1:P1"/>
  </mergeCells>
  <conditionalFormatting sqref="A15:D114">
    <cfRule type="expression" priority="1" dxfId="1">
      <formula>$A15&lt;&gt;""</formula>
    </cfRule>
  </conditionalFormatting>
  <conditionalFormatting sqref="E15:E114">
    <cfRule type="expression" priority="2" dxfId="2">
      <formula>$A15&lt;&gt;""</formula>
    </cfRule>
  </conditionalFormatting>
  <conditionalFormatting sqref="B15:B114">
    <cfRule type="expression" priority="3" dxfId="0">
      <formula>AND($A15&lt;&gt;"",$B15="")</formula>
    </cfRule>
  </conditionalFormatting>
  <dataValidations count="6">
    <dataValidation sqref="B4:B5 B9" showDropDown="0" showInputMessage="0" showErrorMessage="1" allowBlank="0" errorTitle="Nonnegative value required" error="Enter zero or a positive planning value." type="decimal" errorStyle="stop" operator="greaterThanOrEqual">
      <formula1>0</formula1>
    </dataValidation>
    <dataValidation sqref="B6" showDropDown="0" showInputMessage="0" showErrorMessage="1" allowBlank="0" errorTitle="Percent required" error="Enter a decimal from 0 through 1." type="decimal" errorStyle="stop" operator="between">
      <formula1>0</formula1>
      <formula2>1</formula2>
    </dataValidation>
    <dataValidation sqref="B7" showDropDown="0" showInputMessage="0" showErrorMessage="1" allowBlank="0" errorTitle="Whole days required" error="Enter zero or a positive whole number of days." type="whole" errorStyle="stop" operator="greaterThanOrEqual">
      <formula1>0</formula1>
    </dataValidation>
    <dataValidation sqref="B8" showDropDown="0" showInputMessage="0" showErrorMessage="1" allowBlank="0" errorTitle="Positive MPG required" error="Enter a fuel economy value greater than zero." type="decimal" errorStyle="stop" operator="greaterThan">
      <formula1>0</formula1>
    </dataValidation>
    <dataValidation sqref="B15:B114" showDropDown="0" showInputMessage="0" showErrorMessage="1" allowBlank="0" errorTitle="Nonnegative rate required" error="Enter zero or a positive U.S. dollar rate." type="decimal" errorStyle="stop" operator="greaterThanOrEqual">
      <formula1>0</formula1>
    </dataValidation>
    <dataValidation sqref="C15:C114" showDropDown="0" showInputMessage="0" showErrorMessage="1" allowBlank="0" errorTitle="Select a listed unit" error="Select hour, occurrence, day, stop, or each." type="list" errorStyle="stop">
      <formula1>$P$4:$P$8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DDDE1"/>
    <outlinePr summaryBelow="1" summaryRight="1"/>
    <pageSetUpPr/>
  </sheetPr>
  <dimension ref="A1:H45"/>
  <sheetViews>
    <sheetView showGridLines="0" zoomScale="9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7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2" customHeight="1">
      <c r="A1" s="1" t="inlineStr">
        <is>
          <t>Workbook Production Brief and Instructions</t>
        </is>
      </c>
    </row>
    <row r="2" ht="28" customHeight="1">
      <c r="A2" s="2" t="inlineStr">
        <is>
          <t>Use this workbook as a manual drayage dispatch planning aid. It does not provide live integrations or legal, tax, safety, DOT/FMCSA, or regulatory compliance advice.</t>
        </is>
      </c>
    </row>
    <row r="4">
      <c r="A4" s="12" t="inlineStr">
        <is>
          <t>Purpose and Scope</t>
        </is>
      </c>
    </row>
    <row r="5" ht="52" customHeight="1">
      <c r="A5" s="52" t="inlineStr">
        <is>
          <t>Plan and review container moves from terminal pickup through delivery. Track appointments, driver and equipment assignments, miles, gallons, revenue, accessorials, operating cost, gross margin, on-time results, and dispatch notes.</t>
        </is>
      </c>
    </row>
    <row r="7">
      <c r="A7" s="12" t="inlineStr">
        <is>
          <t>Recommended Workflow</t>
        </is>
      </c>
    </row>
    <row r="8" ht="30" customHeight="1">
      <c r="A8" s="52" t="inlineStr">
        <is>
          <t>1. Review editable assumptions, accessorial rates, and dropdown lists on Settings.</t>
        </is>
      </c>
    </row>
    <row r="9" ht="30" customHeight="1">
      <c r="A9" s="52" t="inlineStr">
        <is>
          <t>2. Enter each load on Dispatch using a unique Load ID and the current dispatch date.</t>
        </is>
      </c>
    </row>
    <row r="10" ht="30" customHeight="1">
      <c r="A10" s="52" t="inlineStr">
        <is>
          <t>3. Add terminal, pickup and delivery appointments, driver, tractor, chassis, origin, and destination.</t>
        </is>
      </c>
    </row>
    <row r="11" ht="30" customHeight="1">
      <c r="A11" s="52" t="inlineStr">
        <is>
          <t>4. Enter loaded miles, empty miles, fuel gallons, base revenue, driver pay, and other cost.</t>
        </is>
      </c>
    </row>
    <row r="12" ht="30" customHeight="1">
      <c r="A12" s="52" t="inlineStr">
        <is>
          <t>5. Select an accessorial and enter its quantity or hours only when the charge applies.</t>
        </is>
      </c>
    </row>
    <row r="13" ht="30" customHeight="1">
      <c r="A13" s="52" t="inlineStr">
        <is>
          <t>6. Update Status as the move progresses. Complete On-Time? and Actual Delivery Date after delivery.</t>
        </is>
      </c>
    </row>
    <row r="14" ht="30" customHeight="1">
      <c r="A14" s="52" t="inlineStr">
        <is>
          <t>7. Review Dashboard KPIs, load mix, monthly financial trend, and operational check counts.</t>
        </is>
      </c>
    </row>
    <row r="15" ht="30" customHeight="1">
      <c r="A15" s="52" t="inlineStr">
        <is>
          <t>8. Filter Dispatch for active loads, exceptions, low margins, overdue moves, or missing fields.</t>
        </is>
      </c>
    </row>
    <row r="17">
      <c r="A17" s="13" t="inlineStr">
        <is>
          <t>Area</t>
        </is>
      </c>
      <c r="B17" s="13" t="inlineStr">
        <is>
          <t>Field or Control</t>
        </is>
      </c>
      <c r="C17" s="13" t="inlineStr">
        <is>
          <t>Production Guidance</t>
        </is>
      </c>
    </row>
    <row r="18" ht="38" customHeight="1">
      <c r="A18" s="53" t="inlineStr">
        <is>
          <t>Dispatch</t>
        </is>
      </c>
      <c r="B18" s="53" t="inlineStr">
        <is>
          <t>Load ID</t>
        </is>
      </c>
      <c r="C18" s="53" t="inlineStr">
        <is>
          <t>Required manual identifier. Duplicate populated IDs are blocked by validation.</t>
        </is>
      </c>
    </row>
    <row r="19" ht="38" customHeight="1">
      <c r="A19" s="53" t="inlineStr">
        <is>
          <t>Dispatch</t>
        </is>
      </c>
      <c r="B19" s="53" t="inlineStr">
        <is>
          <t>Status</t>
        </is>
      </c>
      <c r="C19" s="53" t="inlineStr">
        <is>
          <t>Use the dropdown so dashboard counts remain consistent.</t>
        </is>
      </c>
    </row>
    <row r="20" ht="38" customHeight="1">
      <c r="A20" s="53" t="inlineStr">
        <is>
          <t>Dispatch</t>
        </is>
      </c>
      <c r="B20" s="53" t="inlineStr">
        <is>
          <t>Appointments</t>
        </is>
      </c>
      <c r="C20" s="53" t="inlineStr">
        <is>
          <t>Enter local appointment date and time; confirm changes manually.</t>
        </is>
      </c>
    </row>
    <row r="21" ht="38" customHeight="1">
      <c r="A21" s="53" t="inlineStr">
        <is>
          <t>Dispatch</t>
        </is>
      </c>
      <c r="B21" s="53" t="inlineStr">
        <is>
          <t>Miles</t>
        </is>
      </c>
      <c r="C21" s="53" t="inlineStr">
        <is>
          <t>Enter loaded and empty miles. Total Miles is calculated.</t>
        </is>
      </c>
    </row>
    <row r="22" ht="38" customHeight="1">
      <c r="A22" s="53" t="inlineStr">
        <is>
          <t>Dispatch</t>
        </is>
      </c>
      <c r="B22" s="53" t="inlineStr">
        <is>
          <t>Fuel Gallons</t>
        </is>
      </c>
      <c r="C22" s="53" t="inlineStr">
        <is>
          <t>Enter reported gallons. Fuel Cost uses the editable fuel price assumption.</t>
        </is>
      </c>
    </row>
    <row r="23" ht="38" customHeight="1">
      <c r="A23" s="53" t="inlineStr">
        <is>
          <t>Dispatch</t>
        </is>
      </c>
      <c r="B23" s="53" t="inlineStr">
        <is>
          <t>Fuel Surcharge</t>
        </is>
      </c>
      <c r="C23" s="53" t="inlineStr">
        <is>
          <t>Calculated from Total Miles multiplied by the editable per-mile surcharge.</t>
        </is>
      </c>
    </row>
    <row r="24" ht="38" customHeight="1">
      <c r="A24" s="53" t="inlineStr">
        <is>
          <t>Dispatch</t>
        </is>
      </c>
      <c r="B24" s="53" t="inlineStr">
        <is>
          <t>Accessorial Revenue</t>
        </is>
      </c>
      <c r="C24" s="53" t="inlineStr">
        <is>
          <t>Calculated with VLOOKUP from the editable Settings rate catalog.</t>
        </is>
      </c>
    </row>
    <row r="25" ht="38" customHeight="1">
      <c r="A25" s="53" t="inlineStr">
        <is>
          <t>Dispatch</t>
        </is>
      </c>
      <c r="B25" s="53" t="inlineStr">
        <is>
          <t>Gross Margin</t>
        </is>
      </c>
      <c r="C25" s="53" t="inlineStr">
        <is>
          <t>Total Revenue less Total Cost. Margin % uses a guarded division.</t>
        </is>
      </c>
    </row>
    <row r="26" ht="38" customHeight="1">
      <c r="A26" s="53" t="inlineStr">
        <is>
          <t>Dispatch</t>
        </is>
      </c>
      <c r="B26" s="53" t="inlineStr">
        <is>
          <t>Days Open</t>
        </is>
      </c>
      <c r="C26" s="53" t="inlineStr">
        <is>
          <t>Delivered loads use Actual Delivery Date; active loads use the current date.</t>
        </is>
      </c>
    </row>
    <row r="27" ht="38" customHeight="1">
      <c r="A27" s="53" t="inlineStr">
        <is>
          <t>Dashboard</t>
        </is>
      </c>
      <c r="B27" s="53" t="inlineStr">
        <is>
          <t>Operational Checks</t>
        </is>
      </c>
      <c r="C27" s="53" t="inlineStr">
        <is>
          <t>Counts indicate records that may need manual review; they are not compliance findings.</t>
        </is>
      </c>
    </row>
    <row r="28" ht="38" customHeight="1">
      <c r="A28" s="53" t="inlineStr">
        <is>
          <t>Settings</t>
        </is>
      </c>
      <c r="B28" s="53" t="inlineStr">
        <is>
          <t>Editable Lists</t>
        </is>
      </c>
      <c r="C28" s="53" t="inlineStr">
        <is>
          <t>Update customers, drivers, terminals, steamship lines, and allowed values as needed.</t>
        </is>
      </c>
    </row>
    <row r="29" ht="38" customHeight="1">
      <c r="A29" s="53" t="inlineStr">
        <is>
          <t>Capacity</t>
        </is>
      </c>
      <c r="B29" s="53" t="inlineStr">
        <is>
          <t>Prepared Rows</t>
        </is>
      </c>
      <c r="C29" s="53" t="inlineStr">
        <is>
          <t>Dispatch has 150 usable rows. The accessorial catalog has 100 usable rows.</t>
        </is>
      </c>
    </row>
    <row r="32">
      <c r="A32" s="12" t="inlineStr">
        <is>
          <t>Color Key</t>
        </is>
      </c>
    </row>
    <row r="33">
      <c r="A33" s="54" t="inlineStr">
        <is>
          <t>Manual input</t>
        </is>
      </c>
      <c r="B33" s="55" t="inlineStr">
        <is>
          <t>Calculated output</t>
        </is>
      </c>
      <c r="C33" s="56" t="inlineStr">
        <is>
          <t>Attention or exception</t>
        </is>
      </c>
    </row>
    <row r="36">
      <c r="A36" s="12" t="inlineStr">
        <is>
          <t>Final Workbook Checks</t>
        </is>
      </c>
    </row>
    <row r="37" ht="30" customHeight="1">
      <c r="A37" s="52" t="inlineStr">
        <is>
          <t>• Dashboard is first, operational Dispatch follows, Settings contains editable assumptions, and Instructions is last.</t>
        </is>
      </c>
    </row>
    <row r="38" ht="30" customHeight="1">
      <c r="A38" s="52" t="inlineStr">
        <is>
          <t>• Nine realistic sample dispatch rows are populated with runtime-relative dates.</t>
        </is>
      </c>
    </row>
    <row r="39" ht="30" customHeight="1">
      <c r="A39" s="52" t="inlineStr">
        <is>
          <t>• Dispatch formulas, number formats, validation, filters, and conditional formatting extend through row 154.</t>
        </is>
      </c>
    </row>
    <row r="40" ht="30" customHeight="1">
      <c r="A40" s="52" t="inlineStr">
        <is>
          <t>• The accessorial catalog is prepared through row 114 with rate validation and row-status formulas.</t>
        </is>
      </c>
    </row>
    <row r="41" ht="30" customHeight="1">
      <c r="A41" s="52" t="inlineStr">
        <is>
          <t>• U.S. dollars, miles, gallons, U.S. date formats, and English labels are used throughout.</t>
        </is>
      </c>
    </row>
    <row r="42" ht="30" customHeight="1">
      <c r="A42" s="52" t="inlineStr">
        <is>
          <t>• Empty prepared rows display blank formula results until a Load ID or accessorial type is entered.</t>
        </is>
      </c>
    </row>
    <row r="43" ht="30" customHeight="1">
      <c r="A43" s="52" t="inlineStr">
        <is>
          <t>• Charts use only the compact dashboard status and six-month summary ranges.</t>
        </is>
      </c>
    </row>
    <row r="44" ht="30" customHeight="1">
      <c r="A44" s="52" t="inlineStr">
        <is>
          <t>• The workbook is manual and does not claim live terminal, TMS, ELD, GPS, or accounting integrations.</t>
        </is>
      </c>
    </row>
    <row r="45" ht="30" customHeight="1">
      <c r="A45" s="52" t="inlineStr">
        <is>
          <t>• Review assumptions and operating procedures with qualified internal personnel before production use.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Drayage Dispatch Spreadsheet</dc:title>
  <dc:description xmlns:dc="http://purl.org/dc/elements/1.1/">A U.S. English workbook for manually planning and reviewing drayage loads, appointments, miles, gallons, revenue, costs, and operating exceptions.</dc:description>
  <dc:subject xmlns:dc="http://purl.org/dc/elements/1.1/">Manual drayage dispatch planning, cost, and performance workbook</dc:subject>
  <dcterms:created xmlns:dcterms="http://purl.org/dc/terms/" xmlns:xsi="http://www.w3.org/2001/XMLSchema-instance" xsi:type="dcterms:W3CDTF">2026-09-07T21:29:41Z</dcterms:created>
  <dcterms:modified xmlns:dcterms="http://purl.org/dc/terms/" xmlns:xsi="http://www.w3.org/2001/XMLSchema-instance" xsi:type="dcterms:W3CDTF">2026-09-07T21:29:42+00:00Z</dcterms:modified>
</cp:coreProperties>
</file>