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nsfer Schedule" sheetId="2" state="visible" r:id="rId2"/>
    <sheet xmlns:r="http://schemas.openxmlformats.org/officeDocument/2006/relationships" name="Settings &amp; 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'Dashboard'!$A$11:$F$18</definedName>
    <definedName name="_xlnm._FilterDatabase" localSheetId="1" hidden="1">'Transfer Schedule'!$A$5:$X$105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/d/yy"/>
    <numFmt numFmtId="165" formatCode="$#,##0.00"/>
    <numFmt numFmtId="166" formatCode="0.0"/>
    <numFmt numFmtId="167" formatCode="0.0%"/>
    <numFmt numFmtId="168" formatCode="m/d/yy h:mm AM/PM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F737B"/>
      <sz val="10"/>
    </font>
    <font>
      <name val="Calibri"/>
      <b val="1"/>
      <color rgb="00FFFFFF"/>
      <sz val="10"/>
    </font>
    <font>
      <name val="Calibri"/>
      <b val="1"/>
      <color rgb="00123B52"/>
      <sz val="12"/>
    </font>
    <font>
      <name val="Calibri"/>
      <b val="1"/>
      <color rgb="00FFFFFF"/>
      <sz val="11"/>
    </font>
    <font>
      <name val="Calibri"/>
      <color rgb="00243B47"/>
      <sz val="10"/>
    </font>
    <font>
      <name val="Calibri"/>
      <color rgb="00123B52"/>
      <sz val="10"/>
    </font>
    <font>
      <name val="Calibri"/>
      <color rgb="005F737B"/>
      <sz val="9"/>
    </font>
    <font>
      <name val="Calibri"/>
      <b val="1"/>
      <color rgb="002A8C82"/>
      <sz val="10"/>
    </font>
    <font>
      <name val="Calibri"/>
      <b val="1"/>
      <color rgb="00123B52"/>
      <sz val="10"/>
    </font>
    <font>
      <name val="Calibri"/>
      <b val="1"/>
      <color rgb="00F97316"/>
      <sz val="10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2A8C82"/>
      </patternFill>
    </fill>
    <fill>
      <patternFill patternType="solid">
        <fgColor rgb="00F1F7F5"/>
      </patternFill>
    </fill>
    <fill>
      <patternFill patternType="solid">
        <fgColor rgb="00F97316"/>
      </patternFill>
    </fill>
    <fill>
      <patternFill patternType="solid">
        <fgColor rgb="00E0F3EF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164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6" fillId="4" borderId="1" pivotButton="0" quotePrefix="0" xfId="0"/>
    <xf numFmtId="3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166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left" vertical="center"/>
    </xf>
    <xf numFmtId="3" fontId="7" fillId="4" borderId="1" applyAlignment="1" pivotButton="0" quotePrefix="0" xfId="0">
      <alignment horizontal="left" vertical="center"/>
    </xf>
    <xf numFmtId="0" fontId="3" fillId="5" borderId="1" pivotButton="0" quotePrefix="0" xfId="0"/>
    <xf numFmtId="0" fontId="8" fillId="4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3" fontId="6" fillId="6" borderId="1" applyAlignment="1" pivotButton="0" quotePrefix="0" xfId="0">
      <alignment horizontal="right" vertical="center"/>
    </xf>
    <xf numFmtId="3" fontId="7" fillId="4" borderId="1" applyAlignment="1" pivotButton="0" quotePrefix="0" xfId="0">
      <alignment horizontal="right" vertical="center"/>
    </xf>
    <xf numFmtId="168" fontId="6" fillId="6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166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top" wrapText="1"/>
    </xf>
    <xf numFmtId="3" fontId="6" fillId="6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right" vertical="center"/>
    </xf>
    <xf numFmtId="49" fontId="6" fillId="6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top" wrapText="1"/>
    </xf>
    <xf numFmtId="0" fontId="10" fillId="4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164" fontId="0" fillId="0" borderId="0" pivotButton="0" quotePrefix="0" xfId="0"/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68" fontId="6" fillId="6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  <dxf>
      <font>
        <name val="Calibri"/>
        <b val="1"/>
        <color rgb="002A8C82"/>
        <sz val="10"/>
      </font>
      <fill>
        <patternFill patternType="solid">
          <fgColor rgb="00E0F3EF"/>
        </patternFill>
      </fill>
    </dxf>
    <dxf>
      <font>
        <name val="Calibri"/>
        <b val="1"/>
        <color rgb="00FFFFFF"/>
        <sz val="10"/>
      </font>
      <fill>
        <patternFill patternType="solid">
          <fgColor rgb="002A8C8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Transfers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'Dashboard'!$A$12:$A$17</f>
            </numRef>
          </cat>
          <val>
            <numRef>
              <f>'Dashboard'!$B$12:$B$17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Transfers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Transfers and Pallets by Planned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'Dashboard'!E11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'Dashboard'!$D$12:$D$18</f>
            </numRef>
          </cat>
          <val>
            <numRef>
              <f>'Dashboard'!$E$12:$E$18</f>
            </numRef>
          </val>
        </ser>
        <ser>
          <idx val="1"/>
          <order val="1"/>
          <tx>
            <strRef>
              <f>'Dashboard'!F11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'Dashboard'!$D$12:$D$18</f>
            </numRef>
          </cat>
          <val>
            <numRef>
              <f>'Dashboard'!$F$12:$F$18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Planned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9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aneDirectory" displayName="LaneDirectory" ref="A10:D110" headerRowCount="1">
  <autoFilter ref="A10:D110"/>
  <tableColumns count="4">
    <tableColumn id="1" name="Lane Key"/>
    <tableColumn id="2" name="Origin Dock"/>
    <tableColumn id="3" name="Destination Dock"/>
    <tableColumn id="4" name="Miles"/>
  </tableColumns>
</table>
</file>

<file path=xl/tables/table2.xml><?xml version="1.0" encoding="utf-8"?>
<table xmlns="http://schemas.openxmlformats.org/spreadsheetml/2006/main" id="2" name="CarrierDirectory" displayName="CarrierDirectory" ref="F10:I110" headerRowCount="1">
  <autoFilter ref="F10:I110"/>
  <tableColumns count="4">
    <tableColumn id="6" name="Carrier"/>
    <tableColumn id="7" name="Rate per Mile"/>
    <tableColumn id="8" name="Dispatcher Phone"/>
    <tableColumn id="9" name="Service Level"/>
  </tableColumns>
</table>
</file>

<file path=xl/tables/table3.xml><?xml version="1.0" encoding="utf-8"?>
<table xmlns="http://schemas.openxmlformats.org/spreadsheetml/2006/main" id="3" name="DockLocations" displayName="DockLocations" ref="K10:L110" headerRowCount="1">
  <autoFilter ref="K10:L110"/>
  <tableColumns count="2">
    <tableColumn id="11" name="Location Name"/>
    <tableColumn id="12" name="Dock Cod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/>
  </sheetPr>
  <dimension ref="A1:L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2" customWidth="1" min="3" max="3"/>
    <col width="16" customWidth="1" min="4" max="4"/>
    <col width="22" customWidth="1" min="5" max="5"/>
    <col width="14" customWidth="1" min="6" max="6"/>
    <col width="22" customWidth="1" min="7" max="7"/>
    <col width="15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A1" s="1" t="inlineStr">
        <is>
          <t>Cross Dock Transfer Schedule Dashboard</t>
        </is>
      </c>
    </row>
    <row r="2">
      <c r="A2" t="inlineStr">
        <is>
          <t>Planning date</t>
        </is>
      </c>
      <c r="B2" s="42" t="n">
        <v>46273</v>
      </c>
    </row>
    <row r="3" ht="30" customHeight="1">
      <c r="A3" s="3" t="inlineStr">
        <is>
          <t>Use this dashboard to review scheduled transfers, timing exceptions, dock activity, mileage, fuel, and estimated transportation cost.</t>
        </is>
      </c>
    </row>
    <row r="4">
      <c r="A4" s="4" t="inlineStr">
        <is>
          <t>Scheduled Transfers</t>
        </is>
      </c>
      <c r="B4" s="5">
        <f>COUNTIF('Transfer Schedule'!$A$6:$A$105,"&lt;&gt;")</f>
        <v/>
      </c>
      <c r="C4" s="4" t="inlineStr">
        <is>
          <t>Timing Exceptions</t>
        </is>
      </c>
      <c r="D4" s="5">
        <f>COUNTIF('Transfer Schedule'!$P$6:$P$105,"Late Arrival")+COUNTIF('Transfer Schedule'!$P$6:$P$105,"At Dock - Late")</f>
        <v/>
      </c>
      <c r="E4" s="4" t="inlineStr">
        <is>
          <t>Departed</t>
        </is>
      </c>
      <c r="F4" s="5">
        <f>COUNTIF('Transfer Schedule'!$P$6:$P$105,"Departed")</f>
        <v/>
      </c>
      <c r="G4" s="4" t="inlineStr">
        <is>
          <t>Total Route Miles</t>
        </is>
      </c>
      <c r="H4" s="6">
        <f>SUM('Transfer Schedule'!$K$6:$K$105)</f>
        <v/>
      </c>
    </row>
    <row r="5"/>
    <row r="6"/>
    <row r="7">
      <c r="A7" s="4" t="inlineStr">
        <is>
          <t>Total Estimated Cost</t>
        </is>
      </c>
      <c r="B7" s="43">
        <f>SUM('Transfer Schedule'!$U$6:$U$105)</f>
        <v/>
      </c>
      <c r="C7" s="4" t="inlineStr">
        <is>
          <t>Average Dwell Hours</t>
        </is>
      </c>
      <c r="D7" s="44">
        <f>IFERROR(AVERAGEIF('Transfer Schedule'!$Q$6:$Q$105,"&gt;=0",'Transfer Schedule'!$Q$6:$Q$105),0)</f>
        <v/>
      </c>
      <c r="E7" s="4" t="inlineStr">
        <is>
          <t>On-Time Arrival Rate</t>
        </is>
      </c>
      <c r="F7" s="45">
        <f>IFERROR(SUMPRODUCT(--('Transfer Schedule'!$M$6:$M$105&lt;&gt;""),--('Transfer Schedule'!$M$6:$M$105&lt;=('Transfer Schedule'!$L$6:$L$105+IFERROR('Settings &amp; Lists'!$B$7/24,0))))/COUNT('Transfer Schedule'!$M$6:$M$105),0)</f>
        <v/>
      </c>
      <c r="G7" s="4" t="inlineStr">
        <is>
          <t>Planned Gallons</t>
        </is>
      </c>
      <c r="H7" s="44">
        <f>SUM('Transfer Schedule'!$R$6:$R$105)</f>
        <v/>
      </c>
    </row>
    <row r="8"/>
    <row r="9"/>
    <row r="10">
      <c r="A10" s="10" t="inlineStr">
        <is>
          <t>Status Summary</t>
        </is>
      </c>
      <c r="B10" s="10" t="n"/>
      <c r="D10" s="10" t="inlineStr">
        <is>
          <t>Seven-Day Dock Plan</t>
        </is>
      </c>
      <c r="E10" s="10" t="n"/>
      <c r="F10" s="10" t="n"/>
    </row>
    <row r="11">
      <c r="A11" s="11" t="inlineStr">
        <is>
          <t>Status</t>
        </is>
      </c>
      <c r="B11" s="11" t="inlineStr">
        <is>
          <t>Transfers</t>
        </is>
      </c>
      <c r="D11" s="11" t="inlineStr">
        <is>
          <t>Planned Date</t>
        </is>
      </c>
      <c r="E11" s="11" t="inlineStr">
        <is>
          <t>Transfers</t>
        </is>
      </c>
      <c r="F11" s="11" t="inlineStr">
        <is>
          <t>Pallets</t>
        </is>
      </c>
    </row>
    <row r="12">
      <c r="A12" s="12" t="inlineStr">
        <is>
          <t>Scheduled</t>
        </is>
      </c>
      <c r="B12" s="13">
        <f>COUNTIF('Transfer Schedule'!$P$6:$P$105,'Dashboard'!$A12)</f>
        <v/>
      </c>
      <c r="D12" s="46" t="n">
        <v>46270</v>
      </c>
      <c r="E12" s="13">
        <f>COUNTIFS('Transfer Schedule'!$L$6:$L$105,"&gt;="&amp;'Dashboard'!$D12,'Transfer Schedule'!$L$6:$L$105,"&lt;"&amp;'Dashboard'!$D12+1)</f>
        <v/>
      </c>
      <c r="F12" s="13">
        <f>SUMIFS('Transfer Schedule'!$H$6:$H$105,'Transfer Schedule'!$L$6:$L$105,"&gt;="&amp;'Dashboard'!$D12,'Transfer Schedule'!$L$6:$L$105,"&lt;"&amp;'Dashboard'!$D12+1)</f>
        <v/>
      </c>
    </row>
    <row r="13">
      <c r="A13" s="12" t="inlineStr">
        <is>
          <t>Due Soon</t>
        </is>
      </c>
      <c r="B13" s="13">
        <f>COUNTIF('Transfer Schedule'!$P$6:$P$105,'Dashboard'!$A13)</f>
        <v/>
      </c>
      <c r="D13" s="46" t="n">
        <v>46271</v>
      </c>
      <c r="E13" s="13">
        <f>COUNTIFS('Transfer Schedule'!$L$6:$L$105,"&gt;="&amp;'Dashboard'!$D13,'Transfer Schedule'!$L$6:$L$105,"&lt;"&amp;'Dashboard'!$D13+1)</f>
        <v/>
      </c>
      <c r="F13" s="13">
        <f>SUMIFS('Transfer Schedule'!$H$6:$H$105,'Transfer Schedule'!$L$6:$L$105,"&gt;="&amp;'Dashboard'!$D13,'Transfer Schedule'!$L$6:$L$105,"&lt;"&amp;'Dashboard'!$D13+1)</f>
        <v/>
      </c>
    </row>
    <row r="14">
      <c r="A14" s="12" t="inlineStr">
        <is>
          <t>Late Arrival</t>
        </is>
      </c>
      <c r="B14" s="13">
        <f>COUNTIF('Transfer Schedule'!$P$6:$P$105,'Dashboard'!$A14)</f>
        <v/>
      </c>
      <c r="D14" s="46" t="n">
        <v>46272</v>
      </c>
      <c r="E14" s="13">
        <f>COUNTIFS('Transfer Schedule'!$L$6:$L$105,"&gt;="&amp;'Dashboard'!$D14,'Transfer Schedule'!$L$6:$L$105,"&lt;"&amp;'Dashboard'!$D14+1)</f>
        <v/>
      </c>
      <c r="F14" s="13">
        <f>SUMIFS('Transfer Schedule'!$H$6:$H$105,'Transfer Schedule'!$L$6:$L$105,"&gt;="&amp;'Dashboard'!$D14,'Transfer Schedule'!$L$6:$L$105,"&lt;"&amp;'Dashboard'!$D14+1)</f>
        <v/>
      </c>
    </row>
    <row r="15">
      <c r="A15" s="12" t="inlineStr">
        <is>
          <t>At Dock</t>
        </is>
      </c>
      <c r="B15" s="13">
        <f>COUNTIF('Transfer Schedule'!$P$6:$P$105,'Dashboard'!$A15)</f>
        <v/>
      </c>
      <c r="D15" s="46" t="n">
        <v>46273</v>
      </c>
      <c r="E15" s="13">
        <f>COUNTIFS('Transfer Schedule'!$L$6:$L$105,"&gt;="&amp;'Dashboard'!$D15,'Transfer Schedule'!$L$6:$L$105,"&lt;"&amp;'Dashboard'!$D15+1)</f>
        <v/>
      </c>
      <c r="F15" s="13">
        <f>SUMIFS('Transfer Schedule'!$H$6:$H$105,'Transfer Schedule'!$L$6:$L$105,"&gt;="&amp;'Dashboard'!$D15,'Transfer Schedule'!$L$6:$L$105,"&lt;"&amp;'Dashboard'!$D15+1)</f>
        <v/>
      </c>
    </row>
    <row r="16">
      <c r="A16" s="12" t="inlineStr">
        <is>
          <t>At Dock - Late</t>
        </is>
      </c>
      <c r="B16" s="13">
        <f>COUNTIF('Transfer Schedule'!$P$6:$P$105,'Dashboard'!$A16)</f>
        <v/>
      </c>
      <c r="D16" s="46" t="n">
        <v>46274</v>
      </c>
      <c r="E16" s="13">
        <f>COUNTIFS('Transfer Schedule'!$L$6:$L$105,"&gt;="&amp;'Dashboard'!$D16,'Transfer Schedule'!$L$6:$L$105,"&lt;"&amp;'Dashboard'!$D16+1)</f>
        <v/>
      </c>
      <c r="F16" s="13">
        <f>SUMIFS('Transfer Schedule'!$H$6:$H$105,'Transfer Schedule'!$L$6:$L$105,"&gt;="&amp;'Dashboard'!$D16,'Transfer Schedule'!$L$6:$L$105,"&lt;"&amp;'Dashboard'!$D16+1)</f>
        <v/>
      </c>
    </row>
    <row r="17">
      <c r="A17" s="12" t="inlineStr">
        <is>
          <t>Departed</t>
        </is>
      </c>
      <c r="B17" s="13">
        <f>COUNTIF('Transfer Schedule'!$P$6:$P$105,'Dashboard'!$A17)</f>
        <v/>
      </c>
      <c r="D17" s="46" t="n">
        <v>46275</v>
      </c>
      <c r="E17" s="13">
        <f>COUNTIFS('Transfer Schedule'!$L$6:$L$105,"&gt;="&amp;'Dashboard'!$D17,'Transfer Schedule'!$L$6:$L$105,"&lt;"&amp;'Dashboard'!$D17+1)</f>
        <v/>
      </c>
      <c r="F17" s="13">
        <f>SUMIFS('Transfer Schedule'!$H$6:$H$105,'Transfer Schedule'!$L$6:$L$105,"&gt;="&amp;'Dashboard'!$D17,'Transfer Schedule'!$L$6:$L$105,"&lt;"&amp;'Dashboard'!$D17+1)</f>
        <v/>
      </c>
    </row>
    <row r="18">
      <c r="D18" s="46" t="n">
        <v>46276</v>
      </c>
      <c r="E18" s="13">
        <f>COUNTIFS('Transfer Schedule'!$L$6:$L$105,"&gt;="&amp;'Dashboard'!$D18,'Transfer Schedule'!$L$6:$L$105,"&lt;"&amp;'Dashboard'!$D18+1)</f>
        <v/>
      </c>
      <c r="F18" s="13">
        <f>SUMIFS('Transfer Schedule'!$H$6:$H$105,'Transfer Schedule'!$L$6:$L$105,"&gt;="&amp;'Dashboard'!$D18,'Transfer Schedule'!$L$6:$L$105,"&lt;"&amp;'Dashboard'!$D18+1)</f>
        <v/>
      </c>
    </row>
    <row r="19">
      <c r="E19">
        <f>""</f>
        <v/>
      </c>
      <c r="F19">
        <f>""</f>
        <v/>
      </c>
    </row>
    <row r="20">
      <c r="E20">
        <f>""</f>
        <v/>
      </c>
      <c r="F20">
        <f>""</f>
        <v/>
      </c>
    </row>
    <row r="21">
      <c r="A21" s="10" t="inlineStr">
        <is>
          <t>Current Planning Assumptions</t>
        </is>
      </c>
      <c r="B21" s="10" t="n"/>
      <c r="C21" s="10" t="n"/>
      <c r="E21">
        <f>""</f>
        <v/>
      </c>
      <c r="F21">
        <f>""</f>
        <v/>
      </c>
    </row>
    <row r="22">
      <c r="A22" s="15" t="inlineStr">
        <is>
          <t>Fuel economy</t>
        </is>
      </c>
      <c r="B22" s="47">
        <f>'Settings &amp; Lists'!$B$4</f>
        <v/>
      </c>
      <c r="C22" s="15" t="inlineStr">
        <is>
          <t>MPG</t>
        </is>
      </c>
      <c r="E22">
        <f>""</f>
        <v/>
      </c>
      <c r="F22">
        <f>""</f>
        <v/>
      </c>
    </row>
    <row r="23">
      <c r="A23" s="15" t="inlineStr">
        <is>
          <t>Diesel price</t>
        </is>
      </c>
      <c r="B23" s="48">
        <f>'Settings &amp; Lists'!$B$5</f>
        <v/>
      </c>
      <c r="C23" s="15" t="inlineStr">
        <is>
          <t>per gallon</t>
        </is>
      </c>
      <c r="E23">
        <f>""</f>
        <v/>
      </c>
      <c r="F23">
        <f>""</f>
        <v/>
      </c>
    </row>
    <row r="24">
      <c r="A24" s="15" t="inlineStr">
        <is>
          <t>Preferred dwell limit</t>
        </is>
      </c>
      <c r="B24" s="47">
        <f>'Settings &amp; Lists'!$B$6</f>
        <v/>
      </c>
      <c r="C24" s="15" t="inlineStr">
        <is>
          <t>hours</t>
        </is>
      </c>
      <c r="E24">
        <f>""</f>
        <v/>
      </c>
      <c r="F24">
        <f>""</f>
        <v/>
      </c>
    </row>
    <row r="25">
      <c r="A25" s="15" t="inlineStr">
        <is>
          <t>Late-arrival grace</t>
        </is>
      </c>
      <c r="B25" s="47">
        <f>'Settings &amp; Lists'!$B$7</f>
        <v/>
      </c>
      <c r="C25" s="15" t="inlineStr">
        <is>
          <t>hours</t>
        </is>
      </c>
      <c r="E25">
        <f>""</f>
        <v/>
      </c>
      <c r="F25">
        <f>""</f>
        <v/>
      </c>
    </row>
    <row r="26">
      <c r="A26" s="15" t="inlineStr">
        <is>
          <t>Planning horizon</t>
        </is>
      </c>
      <c r="B26" s="18">
        <f>'Settings &amp; Lists'!$B$8</f>
        <v/>
      </c>
      <c r="C26" s="15" t="inlineStr">
        <is>
          <t>days</t>
        </is>
      </c>
      <c r="E26">
        <f>""</f>
        <v/>
      </c>
      <c r="F26">
        <f>""</f>
        <v/>
      </c>
    </row>
    <row r="27">
      <c r="B27">
        <f>""</f>
        <v/>
      </c>
      <c r="E27">
        <f>""</f>
        <v/>
      </c>
      <c r="F27">
        <f>""</f>
        <v/>
      </c>
    </row>
    <row r="28">
      <c r="A28" s="19" t="inlineStr">
        <is>
          <t>Planning Note</t>
        </is>
      </c>
      <c r="B28">
        <f>""</f>
        <v/>
      </c>
      <c r="E28">
        <f>""</f>
        <v/>
      </c>
      <c r="F28">
        <f>""</f>
        <v/>
      </c>
    </row>
    <row r="29" ht="42" customHeight="1">
      <c r="A29" s="20" t="inlineStr">
        <is>
          <t>Estimated costs use the editable route miles, carrier rate per mile, fuel economy, and diesel price. They are planning estimates, not invoices or live carrier quotes.</t>
        </is>
      </c>
      <c r="B29">
        <f>""</f>
        <v/>
      </c>
      <c r="E29">
        <f>""</f>
        <v/>
      </c>
      <c r="F29">
        <f>""</f>
        <v/>
      </c>
    </row>
    <row r="30">
      <c r="B30">
        <f>""</f>
        <v/>
      </c>
      <c r="E30">
        <f>""</f>
        <v/>
      </c>
      <c r="F30">
        <f>""</f>
        <v/>
      </c>
    </row>
    <row r="31">
      <c r="B31">
        <f>""</f>
        <v/>
      </c>
      <c r="E31">
        <f>""</f>
        <v/>
      </c>
      <c r="F31">
        <f>""</f>
        <v/>
      </c>
    </row>
    <row r="32">
      <c r="B32">
        <f>""</f>
        <v/>
      </c>
      <c r="E32">
        <f>""</f>
        <v/>
      </c>
      <c r="F32">
        <f>""</f>
        <v/>
      </c>
    </row>
    <row r="33">
      <c r="B33">
        <f>""</f>
        <v/>
      </c>
      <c r="E33">
        <f>""</f>
        <v/>
      </c>
      <c r="F33">
        <f>""</f>
        <v/>
      </c>
    </row>
    <row r="34">
      <c r="B34">
        <f>""</f>
        <v/>
      </c>
      <c r="E34">
        <f>""</f>
        <v/>
      </c>
      <c r="F34">
        <f>""</f>
        <v/>
      </c>
    </row>
    <row r="35">
      <c r="B35">
        <f>""</f>
        <v/>
      </c>
      <c r="E35">
        <f>""</f>
        <v/>
      </c>
      <c r="F35">
        <f>""</f>
        <v/>
      </c>
    </row>
    <row r="36">
      <c r="B36">
        <f>""</f>
        <v/>
      </c>
      <c r="E36">
        <f>""</f>
        <v/>
      </c>
      <c r="F36">
        <f>""</f>
        <v/>
      </c>
    </row>
    <row r="37">
      <c r="B37">
        <f>""</f>
        <v/>
      </c>
      <c r="E37">
        <f>""</f>
        <v/>
      </c>
      <c r="F37">
        <f>""</f>
        <v/>
      </c>
    </row>
    <row r="38">
      <c r="B38">
        <f>""</f>
        <v/>
      </c>
      <c r="E38">
        <f>""</f>
        <v/>
      </c>
      <c r="F38">
        <f>""</f>
        <v/>
      </c>
    </row>
    <row r="39">
      <c r="B39">
        <f>""</f>
        <v/>
      </c>
      <c r="E39">
        <f>""</f>
        <v/>
      </c>
      <c r="F39">
        <f>""</f>
        <v/>
      </c>
    </row>
    <row r="40">
      <c r="B40">
        <f>""</f>
        <v/>
      </c>
      <c r="E40">
        <f>""</f>
        <v/>
      </c>
      <c r="F40">
        <f>""</f>
        <v/>
      </c>
    </row>
    <row r="41">
      <c r="B41">
        <f>""</f>
        <v/>
      </c>
      <c r="E41">
        <f>""</f>
        <v/>
      </c>
      <c r="F41">
        <f>""</f>
        <v/>
      </c>
    </row>
    <row r="42">
      <c r="B42">
        <f>""</f>
        <v/>
      </c>
      <c r="E42">
        <f>""</f>
        <v/>
      </c>
      <c r="F42">
        <f>""</f>
        <v/>
      </c>
    </row>
    <row r="43">
      <c r="B43">
        <f>""</f>
        <v/>
      </c>
      <c r="E43">
        <f>""</f>
        <v/>
      </c>
      <c r="F43">
        <f>""</f>
        <v/>
      </c>
    </row>
    <row r="44">
      <c r="B44">
        <f>""</f>
        <v/>
      </c>
      <c r="E44">
        <f>""</f>
        <v/>
      </c>
      <c r="F44">
        <f>""</f>
        <v/>
      </c>
    </row>
    <row r="45">
      <c r="B45">
        <f>""</f>
        <v/>
      </c>
      <c r="E45">
        <f>""</f>
        <v/>
      </c>
      <c r="F45">
        <f>""</f>
        <v/>
      </c>
    </row>
    <row r="46">
      <c r="B46">
        <f>""</f>
        <v/>
      </c>
      <c r="E46">
        <f>""</f>
        <v/>
      </c>
      <c r="F46">
        <f>""</f>
        <v/>
      </c>
    </row>
    <row r="47">
      <c r="B47">
        <f>""</f>
        <v/>
      </c>
      <c r="E47">
        <f>""</f>
        <v/>
      </c>
      <c r="F47">
        <f>""</f>
        <v/>
      </c>
    </row>
    <row r="48">
      <c r="B48">
        <f>""</f>
        <v/>
      </c>
      <c r="E48">
        <f>""</f>
        <v/>
      </c>
      <c r="F48">
        <f>""</f>
        <v/>
      </c>
    </row>
    <row r="49">
      <c r="B49">
        <f>""</f>
        <v/>
      </c>
      <c r="E49">
        <f>""</f>
        <v/>
      </c>
      <c r="F49">
        <f>""</f>
        <v/>
      </c>
    </row>
    <row r="50">
      <c r="B50">
        <f>""</f>
        <v/>
      </c>
      <c r="E50">
        <f>""</f>
        <v/>
      </c>
      <c r="F50">
        <f>""</f>
        <v/>
      </c>
    </row>
    <row r="51">
      <c r="B51">
        <f>""</f>
        <v/>
      </c>
      <c r="E51">
        <f>""</f>
        <v/>
      </c>
      <c r="F51">
        <f>""</f>
        <v/>
      </c>
    </row>
    <row r="52">
      <c r="B52">
        <f>""</f>
        <v/>
      </c>
      <c r="E52">
        <f>""</f>
        <v/>
      </c>
      <c r="F52">
        <f>""</f>
        <v/>
      </c>
    </row>
    <row r="53">
      <c r="B53">
        <f>""</f>
        <v/>
      </c>
      <c r="E53">
        <f>""</f>
        <v/>
      </c>
      <c r="F53">
        <f>""</f>
        <v/>
      </c>
    </row>
    <row r="54">
      <c r="B54">
        <f>""</f>
        <v/>
      </c>
      <c r="E54">
        <f>""</f>
        <v/>
      </c>
      <c r="F54">
        <f>""</f>
        <v/>
      </c>
    </row>
    <row r="55">
      <c r="B55">
        <f>""</f>
        <v/>
      </c>
      <c r="E55">
        <f>""</f>
        <v/>
      </c>
      <c r="F55">
        <f>""</f>
        <v/>
      </c>
    </row>
    <row r="56">
      <c r="B56">
        <f>""</f>
        <v/>
      </c>
      <c r="E56">
        <f>""</f>
        <v/>
      </c>
      <c r="F56">
        <f>""</f>
        <v/>
      </c>
    </row>
    <row r="57">
      <c r="B57">
        <f>""</f>
        <v/>
      </c>
      <c r="E57">
        <f>""</f>
        <v/>
      </c>
      <c r="F57">
        <f>""</f>
        <v/>
      </c>
    </row>
    <row r="58">
      <c r="B58">
        <f>""</f>
        <v/>
      </c>
      <c r="E58">
        <f>""</f>
        <v/>
      </c>
      <c r="F58">
        <f>""</f>
        <v/>
      </c>
    </row>
    <row r="59">
      <c r="B59">
        <f>""</f>
        <v/>
      </c>
      <c r="E59">
        <f>""</f>
        <v/>
      </c>
      <c r="F59">
        <f>""</f>
        <v/>
      </c>
    </row>
    <row r="60">
      <c r="B60">
        <f>""</f>
        <v/>
      </c>
      <c r="E60">
        <f>""</f>
        <v/>
      </c>
      <c r="F60">
        <f>""</f>
        <v/>
      </c>
    </row>
    <row r="61">
      <c r="B61">
        <f>""</f>
        <v/>
      </c>
      <c r="E61">
        <f>""</f>
        <v/>
      </c>
      <c r="F61">
        <f>""</f>
        <v/>
      </c>
    </row>
    <row r="62">
      <c r="B62">
        <f>""</f>
        <v/>
      </c>
      <c r="E62">
        <f>""</f>
        <v/>
      </c>
      <c r="F62">
        <f>""</f>
        <v/>
      </c>
    </row>
    <row r="63">
      <c r="B63">
        <f>""</f>
        <v/>
      </c>
      <c r="E63">
        <f>""</f>
        <v/>
      </c>
      <c r="F63">
        <f>""</f>
        <v/>
      </c>
    </row>
    <row r="64">
      <c r="B64">
        <f>""</f>
        <v/>
      </c>
      <c r="E64">
        <f>""</f>
        <v/>
      </c>
      <c r="F64">
        <f>""</f>
        <v/>
      </c>
    </row>
    <row r="65">
      <c r="B65">
        <f>""</f>
        <v/>
      </c>
      <c r="E65">
        <f>""</f>
        <v/>
      </c>
      <c r="F65">
        <f>""</f>
        <v/>
      </c>
    </row>
    <row r="66">
      <c r="B66">
        <f>""</f>
        <v/>
      </c>
      <c r="E66">
        <f>""</f>
        <v/>
      </c>
      <c r="F66">
        <f>""</f>
        <v/>
      </c>
    </row>
    <row r="67">
      <c r="B67">
        <f>""</f>
        <v/>
      </c>
      <c r="E67">
        <f>""</f>
        <v/>
      </c>
      <c r="F67">
        <f>""</f>
        <v/>
      </c>
    </row>
    <row r="68">
      <c r="B68">
        <f>""</f>
        <v/>
      </c>
      <c r="E68">
        <f>""</f>
        <v/>
      </c>
      <c r="F68">
        <f>""</f>
        <v/>
      </c>
    </row>
    <row r="69">
      <c r="B69">
        <f>""</f>
        <v/>
      </c>
      <c r="E69">
        <f>""</f>
        <v/>
      </c>
      <c r="F69">
        <f>""</f>
        <v/>
      </c>
    </row>
    <row r="70">
      <c r="B70">
        <f>""</f>
        <v/>
      </c>
      <c r="E70">
        <f>""</f>
        <v/>
      </c>
      <c r="F70">
        <f>""</f>
        <v/>
      </c>
    </row>
    <row r="71">
      <c r="B71">
        <f>""</f>
        <v/>
      </c>
      <c r="E71">
        <f>""</f>
        <v/>
      </c>
      <c r="F71">
        <f>""</f>
        <v/>
      </c>
    </row>
    <row r="72">
      <c r="B72">
        <f>""</f>
        <v/>
      </c>
      <c r="E72">
        <f>""</f>
        <v/>
      </c>
      <c r="F72">
        <f>""</f>
        <v/>
      </c>
    </row>
    <row r="73">
      <c r="B73">
        <f>""</f>
        <v/>
      </c>
      <c r="E73">
        <f>""</f>
        <v/>
      </c>
      <c r="F73">
        <f>""</f>
        <v/>
      </c>
    </row>
    <row r="74">
      <c r="B74">
        <f>""</f>
        <v/>
      </c>
      <c r="E74">
        <f>""</f>
        <v/>
      </c>
      <c r="F74">
        <f>""</f>
        <v/>
      </c>
    </row>
    <row r="75">
      <c r="B75">
        <f>""</f>
        <v/>
      </c>
      <c r="E75">
        <f>""</f>
        <v/>
      </c>
      <c r="F75">
        <f>""</f>
        <v/>
      </c>
    </row>
    <row r="76">
      <c r="B76">
        <f>""</f>
        <v/>
      </c>
      <c r="E76">
        <f>""</f>
        <v/>
      </c>
      <c r="F76">
        <f>""</f>
        <v/>
      </c>
    </row>
    <row r="77">
      <c r="B77">
        <f>""</f>
        <v/>
      </c>
      <c r="E77">
        <f>""</f>
        <v/>
      </c>
      <c r="F77">
        <f>""</f>
        <v/>
      </c>
    </row>
    <row r="78">
      <c r="B78">
        <f>""</f>
        <v/>
      </c>
      <c r="E78">
        <f>""</f>
        <v/>
      </c>
      <c r="F78">
        <f>""</f>
        <v/>
      </c>
    </row>
    <row r="79">
      <c r="B79">
        <f>""</f>
        <v/>
      </c>
      <c r="E79">
        <f>""</f>
        <v/>
      </c>
      <c r="F79">
        <f>""</f>
        <v/>
      </c>
    </row>
    <row r="80">
      <c r="B80">
        <f>""</f>
        <v/>
      </c>
      <c r="E80">
        <f>""</f>
        <v/>
      </c>
      <c r="F80">
        <f>""</f>
        <v/>
      </c>
    </row>
    <row r="81">
      <c r="B81">
        <f>""</f>
        <v/>
      </c>
      <c r="E81">
        <f>""</f>
        <v/>
      </c>
      <c r="F81">
        <f>""</f>
        <v/>
      </c>
    </row>
    <row r="82">
      <c r="B82">
        <f>""</f>
        <v/>
      </c>
      <c r="E82">
        <f>""</f>
        <v/>
      </c>
      <c r="F82">
        <f>""</f>
        <v/>
      </c>
    </row>
    <row r="83">
      <c r="B83">
        <f>""</f>
        <v/>
      </c>
      <c r="E83">
        <f>""</f>
        <v/>
      </c>
      <c r="F83">
        <f>""</f>
        <v/>
      </c>
    </row>
    <row r="84">
      <c r="B84">
        <f>""</f>
        <v/>
      </c>
      <c r="E84">
        <f>""</f>
        <v/>
      </c>
      <c r="F84">
        <f>""</f>
        <v/>
      </c>
    </row>
    <row r="85">
      <c r="B85">
        <f>""</f>
        <v/>
      </c>
      <c r="E85">
        <f>""</f>
        <v/>
      </c>
      <c r="F85">
        <f>""</f>
        <v/>
      </c>
    </row>
    <row r="86">
      <c r="B86">
        <f>""</f>
        <v/>
      </c>
      <c r="E86">
        <f>""</f>
        <v/>
      </c>
      <c r="F86">
        <f>""</f>
        <v/>
      </c>
    </row>
    <row r="87">
      <c r="B87">
        <f>""</f>
        <v/>
      </c>
      <c r="E87">
        <f>""</f>
        <v/>
      </c>
      <c r="F87">
        <f>""</f>
        <v/>
      </c>
    </row>
    <row r="88">
      <c r="B88">
        <f>""</f>
        <v/>
      </c>
      <c r="E88">
        <f>""</f>
        <v/>
      </c>
      <c r="F88">
        <f>""</f>
        <v/>
      </c>
    </row>
    <row r="89">
      <c r="B89">
        <f>""</f>
        <v/>
      </c>
      <c r="E89">
        <f>""</f>
        <v/>
      </c>
      <c r="F89">
        <f>""</f>
        <v/>
      </c>
    </row>
    <row r="90">
      <c r="B90">
        <f>""</f>
        <v/>
      </c>
      <c r="E90">
        <f>""</f>
        <v/>
      </c>
      <c r="F90">
        <f>""</f>
        <v/>
      </c>
    </row>
    <row r="91">
      <c r="B91">
        <f>""</f>
        <v/>
      </c>
      <c r="E91">
        <f>""</f>
        <v/>
      </c>
      <c r="F91">
        <f>""</f>
        <v/>
      </c>
    </row>
    <row r="92">
      <c r="B92">
        <f>""</f>
        <v/>
      </c>
      <c r="E92">
        <f>""</f>
        <v/>
      </c>
      <c r="F92">
        <f>""</f>
        <v/>
      </c>
    </row>
    <row r="93">
      <c r="B93">
        <f>""</f>
        <v/>
      </c>
      <c r="E93">
        <f>""</f>
        <v/>
      </c>
      <c r="F93">
        <f>""</f>
        <v/>
      </c>
    </row>
    <row r="94">
      <c r="B94">
        <f>""</f>
        <v/>
      </c>
      <c r="E94">
        <f>""</f>
        <v/>
      </c>
      <c r="F94">
        <f>""</f>
        <v/>
      </c>
    </row>
    <row r="95">
      <c r="B95">
        <f>""</f>
        <v/>
      </c>
      <c r="E95">
        <f>""</f>
        <v/>
      </c>
      <c r="F95">
        <f>""</f>
        <v/>
      </c>
    </row>
    <row r="96">
      <c r="B96">
        <f>""</f>
        <v/>
      </c>
      <c r="E96">
        <f>""</f>
        <v/>
      </c>
      <c r="F96">
        <f>""</f>
        <v/>
      </c>
    </row>
    <row r="97">
      <c r="B97">
        <f>""</f>
        <v/>
      </c>
      <c r="E97">
        <f>""</f>
        <v/>
      </c>
      <c r="F97">
        <f>""</f>
        <v/>
      </c>
    </row>
    <row r="98">
      <c r="B98">
        <f>""</f>
        <v/>
      </c>
      <c r="E98">
        <f>""</f>
        <v/>
      </c>
      <c r="F98">
        <f>""</f>
        <v/>
      </c>
    </row>
    <row r="99">
      <c r="B99">
        <f>""</f>
        <v/>
      </c>
      <c r="E99">
        <f>""</f>
        <v/>
      </c>
      <c r="F99">
        <f>""</f>
        <v/>
      </c>
    </row>
    <row r="100">
      <c r="B100">
        <f>""</f>
        <v/>
      </c>
      <c r="E100">
        <f>""</f>
        <v/>
      </c>
      <c r="F100">
        <f>""</f>
        <v/>
      </c>
    </row>
    <row r="101">
      <c r="B101">
        <f>""</f>
        <v/>
      </c>
      <c r="E101">
        <f>""</f>
        <v/>
      </c>
      <c r="F101">
        <f>""</f>
        <v/>
      </c>
    </row>
  </sheetData>
  <autoFilter ref="A11:F18"/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/>
  </sheetPr>
  <dimension ref="A1:X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20" customWidth="1" min="4" max="4"/>
    <col width="22" customWidth="1" min="5" max="5"/>
    <col width="16" customWidth="1" min="6" max="6"/>
    <col width="13" customWidth="1" min="7" max="7"/>
    <col width="10" customWidth="1" min="8" max="8"/>
    <col width="10" customWidth="1" min="9" max="9"/>
    <col width="13" customWidth="1" min="10" max="10"/>
    <col width="12" customWidth="1" min="11" max="11"/>
    <col width="20" customWidth="1" min="12" max="12"/>
    <col width="20" customWidth="1" min="13" max="13"/>
    <col width="20" customWidth="1" min="14" max="14"/>
    <col width="20" customWidth="1" min="15" max="15"/>
    <col width="17" customWidth="1" min="16" max="16"/>
    <col width="12" customWidth="1" min="17" max="17"/>
    <col width="15" customWidth="1" min="18" max="18"/>
    <col width="15" customWidth="1" min="19" max="19"/>
    <col width="15" customWidth="1" min="20" max="20"/>
    <col width="16" customWidth="1" min="21" max="21"/>
    <col width="11" customWidth="1" min="22" max="22"/>
    <col width="11" customWidth="1" min="23" max="23"/>
    <col width="34" customWidth="1" min="24" max="24"/>
  </cols>
  <sheetData>
    <row r="1" ht="30" customHeight="1">
      <c r="A1" s="1" t="inlineStr">
        <is>
          <t>Cross Dock Transfer Schedule</t>
        </is>
      </c>
    </row>
    <row r="2">
      <c r="A2" s="3" t="inlineStr">
        <is>
          <t>Enter operational details in mint cells. Light cells calculate route miles, status, dwell, gallons, and estimated cost.</t>
        </is>
      </c>
    </row>
    <row r="3">
      <c r="A3" s="21" t="inlineStr">
        <is>
          <t>Prepared capacity: 100 transfer rows. Use the filters to focus on a date, dock, carrier, priority, or status.</t>
        </is>
      </c>
    </row>
    <row r="5" ht="32" customHeight="1">
      <c r="A5" s="11" t="inlineStr">
        <is>
          <t>Transfer ID</t>
        </is>
      </c>
      <c r="B5" s="11" t="inlineStr">
        <is>
          <t>Ship Date</t>
        </is>
      </c>
      <c r="C5" s="11" t="inlineStr">
        <is>
          <t>Origin Dock</t>
        </is>
      </c>
      <c r="D5" s="11" t="inlineStr">
        <is>
          <t>Destination Dock</t>
        </is>
      </c>
      <c r="E5" s="11" t="inlineStr">
        <is>
          <t>Carrier</t>
        </is>
      </c>
      <c r="F5" s="11" t="inlineStr">
        <is>
          <t>Trailer Number</t>
        </is>
      </c>
      <c r="G5" s="11" t="inlineStr">
        <is>
          <t>Load Type</t>
        </is>
      </c>
      <c r="H5" s="11" t="inlineStr">
        <is>
          <t>Pallets</t>
        </is>
      </c>
      <c r="I5" s="11" t="inlineStr">
        <is>
          <t>Cases</t>
        </is>
      </c>
      <c r="J5" s="11" t="inlineStr">
        <is>
          <t>Weight (lb)</t>
        </is>
      </c>
      <c r="K5" s="11" t="inlineStr">
        <is>
          <t>Route Miles</t>
        </is>
      </c>
      <c r="L5" s="11" t="inlineStr">
        <is>
          <t>Planned Arrival</t>
        </is>
      </c>
      <c r="M5" s="11" t="inlineStr">
        <is>
          <t>Actual Arrival</t>
        </is>
      </c>
      <c r="N5" s="11" t="inlineStr">
        <is>
          <t>Planned Departure</t>
        </is>
      </c>
      <c r="O5" s="11" t="inlineStr">
        <is>
          <t>Actual Departure</t>
        </is>
      </c>
      <c r="P5" s="11" t="inlineStr">
        <is>
          <t>Status</t>
        </is>
      </c>
      <c r="Q5" s="11" t="inlineStr">
        <is>
          <t>Dwell Hours</t>
        </is>
      </c>
      <c r="R5" s="11" t="inlineStr">
        <is>
          <t>Planned Gallons</t>
        </is>
      </c>
      <c r="S5" s="11" t="inlineStr">
        <is>
          <t>Est. Fuel Cost</t>
        </is>
      </c>
      <c r="T5" s="11" t="inlineStr">
        <is>
          <t>Est. Linehaul</t>
        </is>
      </c>
      <c r="U5" s="11" t="inlineStr">
        <is>
          <t>Total Est. Cost</t>
        </is>
      </c>
      <c r="V5" s="11" t="inlineStr">
        <is>
          <t>Dock Door</t>
        </is>
      </c>
      <c r="W5" s="11" t="inlineStr">
        <is>
          <t>Priority</t>
        </is>
      </c>
      <c r="X5" s="11" t="inlineStr">
        <is>
          <t>Notes</t>
        </is>
      </c>
    </row>
    <row r="6">
      <c r="A6" s="22" t="inlineStr">
        <is>
          <t>CD-260905-01</t>
        </is>
      </c>
      <c r="B6" s="49" t="n">
        <v>46270</v>
      </c>
      <c r="C6" s="22" t="inlineStr">
        <is>
          <t>Dallas, TX</t>
        </is>
      </c>
      <c r="D6" s="22" t="inlineStr">
        <is>
          <t>Houston, TX</t>
        </is>
      </c>
      <c r="E6" s="22" t="inlineStr">
        <is>
          <t>Lone Star Logistics</t>
        </is>
      </c>
      <c r="F6" s="22" t="inlineStr">
        <is>
          <t>LSL-4821</t>
        </is>
      </c>
      <c r="G6" s="22" t="inlineStr">
        <is>
          <t>Transfer</t>
        </is>
      </c>
      <c r="H6" s="24" t="n">
        <v>26</v>
      </c>
      <c r="I6" s="24" t="n">
        <v>1540</v>
      </c>
      <c r="J6" s="24" t="n">
        <v>31200</v>
      </c>
      <c r="K6" s="25">
        <f>IF($A6="","",IFERROR(VLOOKUP($C6&amp;"|"&amp;$D6,'Settings &amp; Lists'!$A$11:$D$110,4,FALSE),""))</f>
        <v/>
      </c>
      <c r="L6" s="50" t="n">
        <v>46270.08333333334</v>
      </c>
      <c r="M6" s="50" t="n">
        <v>46270.07291666666</v>
      </c>
      <c r="N6" s="50" t="n">
        <v>46270.1875</v>
      </c>
      <c r="O6" s="50" t="n">
        <v>46270.17083333333</v>
      </c>
      <c r="P6" s="27">
        <f>IF($A6="","",IF($L6="","Needs Time",IF($O6&lt;&gt;"","Departed",IF($M6&lt;&gt;"",IF(NOW()&gt;$N6,"At Dock - Late","At Dock"),IF(NOW()&gt;$L6+IFERROR('Settings &amp; Lists'!$B$7/24,0),"Late Arrival",IF(NOW()+TIME(2,0,0)&gt;=$L6,"Due Soon","Scheduled"))))))</f>
        <v/>
      </c>
      <c r="Q6" s="51">
        <f>IF($A6="","",IFERROR(IF($M6="","",MAX(0,24*((IF($O6="",NOW(),$O6)-$M6)))),""))</f>
        <v/>
      </c>
      <c r="R6" s="51">
        <f>IF($A6="","",IFERROR($K6/'Settings &amp; Lists'!$B$4,""))</f>
        <v/>
      </c>
      <c r="S6" s="52">
        <f>IF($A6="","",IFERROR($R6*'Settings &amp; Lists'!$B$5,""))</f>
        <v/>
      </c>
      <c r="T6" s="52">
        <f>IF($A6="","",IFERROR($K6*VLOOKUP($E6,'Settings &amp; Lists'!$F$11:$G$110,2,FALSE),""))</f>
        <v/>
      </c>
      <c r="U6" s="52">
        <f>IF($A6="","",IFERROR($S6+$T6,""))</f>
        <v/>
      </c>
      <c r="V6" s="24" t="n">
        <v>7</v>
      </c>
      <c r="W6" s="30" t="inlineStr">
        <is>
          <t>High</t>
        </is>
      </c>
      <c r="X6" s="31" t="inlineStr">
        <is>
          <t>Completed grocery transfer.</t>
        </is>
      </c>
    </row>
    <row r="7">
      <c r="A7" s="22" t="inlineStr">
        <is>
          <t>CD-260906-02</t>
        </is>
      </c>
      <c r="B7" s="49" t="n">
        <v>46271</v>
      </c>
      <c r="C7" s="22" t="inlineStr">
        <is>
          <t>Houston, TX</t>
        </is>
      </c>
      <c r="D7" s="22" t="inlineStr">
        <is>
          <t>San Antonio, TX</t>
        </is>
      </c>
      <c r="E7" s="22" t="inlineStr">
        <is>
          <t>Sunbelt Express</t>
        </is>
      </c>
      <c r="F7" s="22" t="inlineStr">
        <is>
          <t>SBE-7714</t>
        </is>
      </c>
      <c r="G7" s="22" t="inlineStr">
        <is>
          <t>Outbound</t>
        </is>
      </c>
      <c r="H7" s="24" t="n">
        <v>18</v>
      </c>
      <c r="I7" s="24" t="n">
        <v>920</v>
      </c>
      <c r="J7" s="24" t="n">
        <v>24400</v>
      </c>
      <c r="K7" s="25">
        <f>IF($A7="","",IFERROR(VLOOKUP($C7&amp;"|"&amp;$D7,'Settings &amp; Lists'!$A$11:$D$110,4,FALSE),""))</f>
        <v/>
      </c>
      <c r="L7" s="50" t="n">
        <v>46271.08333333334</v>
      </c>
      <c r="M7" s="50" t="n">
        <v>46271.09375</v>
      </c>
      <c r="N7" s="50" t="n">
        <v>46271.1875</v>
      </c>
      <c r="O7" s="50" t="n">
        <v>46271.19583333333</v>
      </c>
      <c r="P7" s="27">
        <f>IF($A7="","",IF($L7="","Needs Time",IF($O7&lt;&gt;"","Departed",IF($M7&lt;&gt;"",IF(NOW()&gt;$N7,"At Dock - Late","At Dock"),IF(NOW()&gt;$L7+IFERROR('Settings &amp; Lists'!$B$7/24,0),"Late Arrival",IF(NOW()+TIME(2,0,0)&gt;=$L7,"Due Soon","Scheduled"))))))</f>
        <v/>
      </c>
      <c r="Q7" s="51">
        <f>IF($A7="","",IFERROR(IF($M7="","",MAX(0,24*((IF($O7="",NOW(),$O7)-$M7)))),""))</f>
        <v/>
      </c>
      <c r="R7" s="51">
        <f>IF($A7="","",IFERROR($K7/'Settings &amp; Lists'!$B$4,""))</f>
        <v/>
      </c>
      <c r="S7" s="52">
        <f>IF($A7="","",IFERROR($R7*'Settings &amp; Lists'!$B$5,""))</f>
        <v/>
      </c>
      <c r="T7" s="52">
        <f>IF($A7="","",IFERROR($K7*VLOOKUP($E7,'Settings &amp; Lists'!$F$11:$G$110,2,FALSE),""))</f>
        <v/>
      </c>
      <c r="U7" s="52">
        <f>IF($A7="","",IFERROR($S7+$T7,""))</f>
        <v/>
      </c>
      <c r="V7" s="24" t="n">
        <v>4</v>
      </c>
      <c r="W7" s="30" t="inlineStr">
        <is>
          <t>Normal</t>
        </is>
      </c>
      <c r="X7" s="31" t="inlineStr">
        <is>
          <t>Seal verified before departure.</t>
        </is>
      </c>
    </row>
    <row r="8">
      <c r="A8" s="22" t="inlineStr">
        <is>
          <t>CD-260907-03</t>
        </is>
      </c>
      <c r="B8" s="49" t="n">
        <v>46272</v>
      </c>
      <c r="C8" s="22" t="inlineStr">
        <is>
          <t>San Antonio, TX</t>
        </is>
      </c>
      <c r="D8" s="22" t="inlineStr">
        <is>
          <t>Austin, TX</t>
        </is>
      </c>
      <c r="E8" s="22" t="inlineStr">
        <is>
          <t>MetroHaul Carriers</t>
        </is>
      </c>
      <c r="F8" s="22" t="inlineStr">
        <is>
          <t>MHC-2906</t>
        </is>
      </c>
      <c r="G8" s="22" t="inlineStr">
        <is>
          <t>Inbound</t>
        </is>
      </c>
      <c r="H8" s="24" t="n">
        <v>22</v>
      </c>
      <c r="I8" s="24" t="n">
        <v>1180</v>
      </c>
      <c r="J8" s="24" t="n">
        <v>28100</v>
      </c>
      <c r="K8" s="25">
        <f>IF($A8="","",IFERROR(VLOOKUP($C8&amp;"|"&amp;$D8,'Settings &amp; Lists'!$A$11:$D$110,4,FALSE),""))</f>
        <v/>
      </c>
      <c r="L8" s="50" t="n">
        <v>46272.75</v>
      </c>
      <c r="M8" s="50" t="n">
        <v>46272.78125</v>
      </c>
      <c r="N8" s="50" t="n">
        <v>46272.85416666666</v>
      </c>
      <c r="O8" s="50" t="n"/>
      <c r="P8" s="27">
        <f>IF($A8="","",IF($L8="","Needs Time",IF($O8&lt;&gt;"","Departed",IF($M8&lt;&gt;"",IF(NOW()&gt;$N8,"At Dock - Late","At Dock"),IF(NOW()&gt;$L8+IFERROR('Settings &amp; Lists'!$B$7/24,0),"Late Arrival",IF(NOW()+TIME(2,0,0)&gt;=$L8,"Due Soon","Scheduled"))))))</f>
        <v/>
      </c>
      <c r="Q8" s="51">
        <f>IF($A8="","",IFERROR(IF($M8="","",MAX(0,24*((IF($O8="",NOW(),$O8)-$M8)))),""))</f>
        <v/>
      </c>
      <c r="R8" s="51">
        <f>IF($A8="","",IFERROR($K8/'Settings &amp; Lists'!$B$4,""))</f>
        <v/>
      </c>
      <c r="S8" s="52">
        <f>IF($A8="","",IFERROR($R8*'Settings &amp; Lists'!$B$5,""))</f>
        <v/>
      </c>
      <c r="T8" s="52">
        <f>IF($A8="","",IFERROR($K8*VLOOKUP($E8,'Settings &amp; Lists'!$F$11:$G$110,2,FALSE),""))</f>
        <v/>
      </c>
      <c r="U8" s="52">
        <f>IF($A8="","",IFERROR($S8+$T8,""))</f>
        <v/>
      </c>
      <c r="V8" s="24" t="n">
        <v>11</v>
      </c>
      <c r="W8" s="30" t="inlineStr">
        <is>
          <t>High</t>
        </is>
      </c>
      <c r="X8" s="31" t="inlineStr">
        <is>
          <t>Awaiting final outbound trailer.</t>
        </is>
      </c>
    </row>
    <row r="9">
      <c r="A9" s="22" t="inlineStr">
        <is>
          <t>CD-260908-04</t>
        </is>
      </c>
      <c r="B9" s="49" t="n">
        <v>46273</v>
      </c>
      <c r="C9" s="22" t="inlineStr">
        <is>
          <t>Austin, TX</t>
        </is>
      </c>
      <c r="D9" s="22" t="inlineStr">
        <is>
          <t>Dallas, TX</t>
        </is>
      </c>
      <c r="E9" s="22" t="inlineStr">
        <is>
          <t>Blue Ridge Freight</t>
        </is>
      </c>
      <c r="F9" s="22" t="inlineStr">
        <is>
          <t>BRF-6380</t>
        </is>
      </c>
      <c r="G9" s="22" t="inlineStr">
        <is>
          <t>Transfer</t>
        </is>
      </c>
      <c r="H9" s="24" t="n">
        <v>24</v>
      </c>
      <c r="I9" s="24" t="n">
        <v>1360</v>
      </c>
      <c r="J9" s="24" t="n">
        <v>29800</v>
      </c>
      <c r="K9" s="25">
        <f>IF($A9="","",IFERROR(VLOOKUP($C9&amp;"|"&amp;$D9,'Settings &amp; Lists'!$A$11:$D$110,4,FALSE),""))</f>
        <v/>
      </c>
      <c r="L9" s="50" t="n">
        <v>46273.125</v>
      </c>
      <c r="M9" s="50" t="n"/>
      <c r="N9" s="50" t="n">
        <v>46273.22916666666</v>
      </c>
      <c r="O9" s="50" t="n"/>
      <c r="P9" s="27">
        <f>IF($A9="","",IF($L9="","Needs Time",IF($O9&lt;&gt;"","Departed",IF($M9&lt;&gt;"",IF(NOW()&gt;$N9,"At Dock - Late","At Dock"),IF(NOW()&gt;$L9+IFERROR('Settings &amp; Lists'!$B$7/24,0),"Late Arrival",IF(NOW()+TIME(2,0,0)&gt;=$L9,"Due Soon","Scheduled"))))))</f>
        <v/>
      </c>
      <c r="Q9" s="51">
        <f>IF($A9="","",IFERROR(IF($M9="","",MAX(0,24*((IF($O9="",NOW(),$O9)-$M9)))),""))</f>
        <v/>
      </c>
      <c r="R9" s="51">
        <f>IF($A9="","",IFERROR($K9/'Settings &amp; Lists'!$B$4,""))</f>
        <v/>
      </c>
      <c r="S9" s="52">
        <f>IF($A9="","",IFERROR($R9*'Settings &amp; Lists'!$B$5,""))</f>
        <v/>
      </c>
      <c r="T9" s="52">
        <f>IF($A9="","",IFERROR($K9*VLOOKUP($E9,'Settings &amp; Lists'!$F$11:$G$110,2,FALSE),""))</f>
        <v/>
      </c>
      <c r="U9" s="52">
        <f>IF($A9="","",IFERROR($S9+$T9,""))</f>
        <v/>
      </c>
      <c r="V9" s="24" t="n">
        <v>3</v>
      </c>
      <c r="W9" s="30" t="inlineStr">
        <is>
          <t>Urgent</t>
        </is>
      </c>
      <c r="X9" s="31" t="inlineStr">
        <is>
          <t>Stage temperature-controlled pallets first.</t>
        </is>
      </c>
    </row>
    <row r="10">
      <c r="A10" s="22" t="inlineStr">
        <is>
          <t>CD-260908-05</t>
        </is>
      </c>
      <c r="B10" s="49" t="n">
        <v>46273</v>
      </c>
      <c r="C10" s="22" t="inlineStr">
        <is>
          <t>Fort Worth, TX</t>
        </is>
      </c>
      <c r="D10" s="22" t="inlineStr">
        <is>
          <t>Oklahoma City, OK</t>
        </is>
      </c>
      <c r="E10" s="22" t="inlineStr">
        <is>
          <t>Prairie Line Transport</t>
        </is>
      </c>
      <c r="F10" s="22" t="inlineStr">
        <is>
          <t>PLT-4418</t>
        </is>
      </c>
      <c r="G10" s="22" t="inlineStr">
        <is>
          <t>Outbound</t>
        </is>
      </c>
      <c r="H10" s="24" t="n">
        <v>16</v>
      </c>
      <c r="I10" s="24" t="n">
        <v>810</v>
      </c>
      <c r="J10" s="24" t="n">
        <v>21900</v>
      </c>
      <c r="K10" s="25">
        <f>IF($A10="","",IFERROR(VLOOKUP($C10&amp;"|"&amp;$D10,'Settings &amp; Lists'!$A$11:$D$110,4,FALSE),""))</f>
        <v/>
      </c>
      <c r="L10" s="50" t="n">
        <v>46273.29166666666</v>
      </c>
      <c r="M10" s="50" t="n"/>
      <c r="N10" s="50" t="n">
        <v>46273.375</v>
      </c>
      <c r="O10" s="50" t="n"/>
      <c r="P10" s="27">
        <f>IF($A10="","",IF($L10="","Needs Time",IF($O10&lt;&gt;"","Departed",IF($M10&lt;&gt;"",IF(NOW()&gt;$N10,"At Dock - Late","At Dock"),IF(NOW()&gt;$L10+IFERROR('Settings &amp; Lists'!$B$7/24,0),"Late Arrival",IF(NOW()+TIME(2,0,0)&gt;=$L10,"Due Soon","Scheduled"))))))</f>
        <v/>
      </c>
      <c r="Q10" s="51">
        <f>IF($A10="","",IFERROR(IF($M10="","",MAX(0,24*((IF($O10="",NOW(),$O10)-$M10)))),""))</f>
        <v/>
      </c>
      <c r="R10" s="51">
        <f>IF($A10="","",IFERROR($K10/'Settings &amp; Lists'!$B$4,""))</f>
        <v/>
      </c>
      <c r="S10" s="52">
        <f>IF($A10="","",IFERROR($R10*'Settings &amp; Lists'!$B$5,""))</f>
        <v/>
      </c>
      <c r="T10" s="52">
        <f>IF($A10="","",IFERROR($K10*VLOOKUP($E10,'Settings &amp; Lists'!$F$11:$G$110,2,FALSE),""))</f>
        <v/>
      </c>
      <c r="U10" s="52">
        <f>IF($A10="","",IFERROR($S10+$T10,""))</f>
        <v/>
      </c>
      <c r="V10" s="24" t="n">
        <v>8</v>
      </c>
      <c r="W10" s="30" t="inlineStr">
        <is>
          <t>Normal</t>
        </is>
      </c>
      <c r="X10" s="31" t="inlineStr">
        <is>
          <t>Standard dry freight.</t>
        </is>
      </c>
    </row>
    <row r="11">
      <c r="A11" s="22" t="inlineStr">
        <is>
          <t>CD-260907-06</t>
        </is>
      </c>
      <c r="B11" s="49" t="n">
        <v>46272</v>
      </c>
      <c r="C11" s="22" t="inlineStr">
        <is>
          <t>Memphis, TN</t>
        </is>
      </c>
      <c r="D11" s="22" t="inlineStr">
        <is>
          <t>Nashville, TN</t>
        </is>
      </c>
      <c r="E11" s="22" t="inlineStr">
        <is>
          <t>Great Lakes Freight</t>
        </is>
      </c>
      <c r="F11" s="22" t="inlineStr">
        <is>
          <t>GLF-5502</t>
        </is>
      </c>
      <c r="G11" s="22" t="inlineStr">
        <is>
          <t>Transfer</t>
        </is>
      </c>
      <c r="H11" s="24" t="n">
        <v>28</v>
      </c>
      <c r="I11" s="24" t="n">
        <v>1720</v>
      </c>
      <c r="J11" s="24" t="n">
        <v>33800</v>
      </c>
      <c r="K11" s="25">
        <f>IF($A11="","",IFERROR(VLOOKUP($C11&amp;"|"&amp;$D11,'Settings &amp; Lists'!$A$11:$D$110,4,FALSE),""))</f>
        <v/>
      </c>
      <c r="L11" s="50" t="n">
        <v>46272.91666666666</v>
      </c>
      <c r="M11" s="50" t="n"/>
      <c r="N11" s="50" t="n">
        <v>46273.02083333334</v>
      </c>
      <c r="O11" s="50" t="n"/>
      <c r="P11" s="27">
        <f>IF($A11="","",IF($L11="","Needs Time",IF($O11&lt;&gt;"","Departed",IF($M11&lt;&gt;"",IF(NOW()&gt;$N11,"At Dock - Late","At Dock"),IF(NOW()&gt;$L11+IFERROR('Settings &amp; Lists'!$B$7/24,0),"Late Arrival",IF(NOW()+TIME(2,0,0)&gt;=$L11,"Due Soon","Scheduled"))))))</f>
        <v/>
      </c>
      <c r="Q11" s="51">
        <f>IF($A11="","",IFERROR(IF($M11="","",MAX(0,24*((IF($O11="",NOW(),$O11)-$M11)))),""))</f>
        <v/>
      </c>
      <c r="R11" s="51">
        <f>IF($A11="","",IFERROR($K11/'Settings &amp; Lists'!$B$4,""))</f>
        <v/>
      </c>
      <c r="S11" s="52">
        <f>IF($A11="","",IFERROR($R11*'Settings &amp; Lists'!$B$5,""))</f>
        <v/>
      </c>
      <c r="T11" s="52">
        <f>IF($A11="","",IFERROR($K11*VLOOKUP($E11,'Settings &amp; Lists'!$F$11:$G$110,2,FALSE),""))</f>
        <v/>
      </c>
      <c r="U11" s="52">
        <f>IF($A11="","",IFERROR($S11+$T11,""))</f>
        <v/>
      </c>
      <c r="V11" s="24" t="n">
        <v>14</v>
      </c>
      <c r="W11" s="30" t="inlineStr">
        <is>
          <t>Urgent</t>
        </is>
      </c>
      <c r="X11" s="31" t="inlineStr">
        <is>
          <t>Arrival confirmation pending.</t>
        </is>
      </c>
    </row>
    <row r="12">
      <c r="A12" s="22" t="inlineStr">
        <is>
          <t>CD-260909-07</t>
        </is>
      </c>
      <c r="B12" s="49" t="n">
        <v>46274</v>
      </c>
      <c r="C12" s="22" t="inlineStr">
        <is>
          <t>Atlanta, GA</t>
        </is>
      </c>
      <c r="D12" s="22" t="inlineStr">
        <is>
          <t>Charlotte, NC</t>
        </is>
      </c>
      <c r="E12" s="22" t="inlineStr">
        <is>
          <t>Sunbelt Express</t>
        </is>
      </c>
      <c r="F12" s="22" t="inlineStr">
        <is>
          <t>SBE-8823</t>
        </is>
      </c>
      <c r="G12" s="22" t="inlineStr">
        <is>
          <t>Inbound</t>
        </is>
      </c>
      <c r="H12" s="24" t="n">
        <v>20</v>
      </c>
      <c r="I12" s="24" t="n">
        <v>1040</v>
      </c>
      <c r="J12" s="24" t="n">
        <v>26700</v>
      </c>
      <c r="K12" s="25">
        <f>IF($A12="","",IFERROR(VLOOKUP($C12&amp;"|"&amp;$D12,'Settings &amp; Lists'!$A$11:$D$110,4,FALSE),""))</f>
        <v/>
      </c>
      <c r="L12" s="50" t="n">
        <v>46274.08333333334</v>
      </c>
      <c r="M12" s="50" t="n"/>
      <c r="N12" s="50" t="n">
        <v>46274.16666666666</v>
      </c>
      <c r="O12" s="50" t="n"/>
      <c r="P12" s="27">
        <f>IF($A12="","",IF($L12="","Needs Time",IF($O12&lt;&gt;"","Departed",IF($M12&lt;&gt;"",IF(NOW()&gt;$N12,"At Dock - Late","At Dock"),IF(NOW()&gt;$L12+IFERROR('Settings &amp; Lists'!$B$7/24,0),"Late Arrival",IF(NOW()+TIME(2,0,0)&gt;=$L12,"Due Soon","Scheduled"))))))</f>
        <v/>
      </c>
      <c r="Q12" s="51">
        <f>IF($A12="","",IFERROR(IF($M12="","",MAX(0,24*((IF($O12="",NOW(),$O12)-$M12)))),""))</f>
        <v/>
      </c>
      <c r="R12" s="51">
        <f>IF($A12="","",IFERROR($K12/'Settings &amp; Lists'!$B$4,""))</f>
        <v/>
      </c>
      <c r="S12" s="52">
        <f>IF($A12="","",IFERROR($R12*'Settings &amp; Lists'!$B$5,""))</f>
        <v/>
      </c>
      <c r="T12" s="52">
        <f>IF($A12="","",IFERROR($K12*VLOOKUP($E12,'Settings &amp; Lists'!$F$11:$G$110,2,FALSE),""))</f>
        <v/>
      </c>
      <c r="U12" s="52">
        <f>IF($A12="","",IFERROR($S12+$T12,""))</f>
        <v/>
      </c>
      <c r="V12" s="24" t="n">
        <v>6</v>
      </c>
      <c r="W12" s="30" t="inlineStr">
        <is>
          <t>Normal</t>
        </is>
      </c>
      <c r="X12" s="31" t="inlineStr">
        <is>
          <t>Mixed retail replenishment.</t>
        </is>
      </c>
    </row>
    <row r="13">
      <c r="A13" s="22" t="inlineStr">
        <is>
          <t>CD-260910-08</t>
        </is>
      </c>
      <c r="B13" s="49" t="n">
        <v>46275</v>
      </c>
      <c r="C13" s="22" t="inlineStr">
        <is>
          <t>Chicago, IL</t>
        </is>
      </c>
      <c r="D13" s="22" t="inlineStr">
        <is>
          <t>Indianapolis, IN</t>
        </is>
      </c>
      <c r="E13" s="22" t="inlineStr">
        <is>
          <t>Great Lakes Freight</t>
        </is>
      </c>
      <c r="F13" s="22" t="inlineStr">
        <is>
          <t>GLF-9137</t>
        </is>
      </c>
      <c r="G13" s="22" t="inlineStr">
        <is>
          <t>Transfer</t>
        </is>
      </c>
      <c r="H13" s="24" t="n">
        <v>30</v>
      </c>
      <c r="I13" s="24" t="n">
        <v>1860</v>
      </c>
      <c r="J13" s="24" t="n">
        <v>35400</v>
      </c>
      <c r="K13" s="25">
        <f>IF($A13="","",IFERROR(VLOOKUP($C13&amp;"|"&amp;$D13,'Settings &amp; Lists'!$A$11:$D$110,4,FALSE),""))</f>
        <v/>
      </c>
      <c r="L13" s="50" t="n">
        <v>46275.08333333334</v>
      </c>
      <c r="M13" s="50" t="n"/>
      <c r="N13" s="50" t="n">
        <v>46275.20833333334</v>
      </c>
      <c r="O13" s="50" t="n"/>
      <c r="P13" s="27">
        <f>IF($A13="","",IF($L13="","Needs Time",IF($O13&lt;&gt;"","Departed",IF($M13&lt;&gt;"",IF(NOW()&gt;$N13,"At Dock - Late","At Dock"),IF(NOW()&gt;$L13+IFERROR('Settings &amp; Lists'!$B$7/24,0),"Late Arrival",IF(NOW()+TIME(2,0,0)&gt;=$L13,"Due Soon","Scheduled"))))))</f>
        <v/>
      </c>
      <c r="Q13" s="51">
        <f>IF($A13="","",IFERROR(IF($M13="","",MAX(0,24*((IF($O13="",NOW(),$O13)-$M13)))),""))</f>
        <v/>
      </c>
      <c r="R13" s="51">
        <f>IF($A13="","",IFERROR($K13/'Settings &amp; Lists'!$B$4,""))</f>
        <v/>
      </c>
      <c r="S13" s="52">
        <f>IF($A13="","",IFERROR($R13*'Settings &amp; Lists'!$B$5,""))</f>
        <v/>
      </c>
      <c r="T13" s="52">
        <f>IF($A13="","",IFERROR($K13*VLOOKUP($E13,'Settings &amp; Lists'!$F$11:$G$110,2,FALSE),""))</f>
        <v/>
      </c>
      <c r="U13" s="52">
        <f>IF($A13="","",IFERROR($S13+$T13,""))</f>
        <v/>
      </c>
      <c r="V13" s="24" t="n">
        <v>18</v>
      </c>
      <c r="W13" s="30" t="inlineStr">
        <is>
          <t>Low</t>
        </is>
      </c>
      <c r="X13" s="31" t="inlineStr">
        <is>
          <t>Weekend staging window.</t>
        </is>
      </c>
    </row>
    <row r="14">
      <c r="A14" s="22" t="inlineStr">
        <is>
          <t>CD-260908-09</t>
        </is>
      </c>
      <c r="B14" s="49" t="n">
        <v>46273</v>
      </c>
      <c r="C14" s="22" t="inlineStr">
        <is>
          <t>Phoenix, AZ</t>
        </is>
      </c>
      <c r="D14" s="22" t="inlineStr">
        <is>
          <t>Las Vegas, NV</t>
        </is>
      </c>
      <c r="E14" s="22" t="inlineStr">
        <is>
          <t>MetroHaul Carriers</t>
        </is>
      </c>
      <c r="F14" s="22" t="inlineStr">
        <is>
          <t>MHC-3251</t>
        </is>
      </c>
      <c r="G14" s="22" t="inlineStr">
        <is>
          <t>Outbound</t>
        </is>
      </c>
      <c r="H14" s="24" t="n">
        <v>14</v>
      </c>
      <c r="I14" s="24" t="n">
        <v>680</v>
      </c>
      <c r="J14" s="24" t="n">
        <v>19600</v>
      </c>
      <c r="K14" s="25">
        <f>IF($A14="","",IFERROR(VLOOKUP($C14&amp;"|"&amp;$D14,'Settings &amp; Lists'!$A$11:$D$110,4,FALSE),""))</f>
        <v/>
      </c>
      <c r="L14" s="50" t="n">
        <v>46273.04166666666</v>
      </c>
      <c r="M14" s="50" t="n">
        <v>46273.05625</v>
      </c>
      <c r="N14" s="50" t="n">
        <v>46273.14583333334</v>
      </c>
      <c r="O14" s="50" t="n"/>
      <c r="P14" s="27">
        <f>IF($A14="","",IF($L14="","Needs Time",IF($O14&lt;&gt;"","Departed",IF($M14&lt;&gt;"",IF(NOW()&gt;$N14,"At Dock - Late","At Dock"),IF(NOW()&gt;$L14+IFERROR('Settings &amp; Lists'!$B$7/24,0),"Late Arrival",IF(NOW()+TIME(2,0,0)&gt;=$L14,"Due Soon","Scheduled"))))))</f>
        <v/>
      </c>
      <c r="Q14" s="51">
        <f>IF($A14="","",IFERROR(IF($M14="","",MAX(0,24*((IF($O14="",NOW(),$O14)-$M14)))),""))</f>
        <v/>
      </c>
      <c r="R14" s="51">
        <f>IF($A14="","",IFERROR($K14/'Settings &amp; Lists'!$B$4,""))</f>
        <v/>
      </c>
      <c r="S14" s="52">
        <f>IF($A14="","",IFERROR($R14*'Settings &amp; Lists'!$B$5,""))</f>
        <v/>
      </c>
      <c r="T14" s="52">
        <f>IF($A14="","",IFERROR($K14*VLOOKUP($E14,'Settings &amp; Lists'!$F$11:$G$110,2,FALSE),""))</f>
        <v/>
      </c>
      <c r="U14" s="52">
        <f>IF($A14="","",IFERROR($S14+$T14,""))</f>
        <v/>
      </c>
      <c r="V14" s="24" t="n">
        <v>9</v>
      </c>
      <c r="W14" s="30" t="inlineStr">
        <is>
          <t>High</t>
        </is>
      </c>
      <c r="X14" s="31" t="inlineStr">
        <is>
          <t>Driver checked in at receiving desk.</t>
        </is>
      </c>
    </row>
    <row r="15">
      <c r="A15" s="22" t="n"/>
      <c r="B15" s="49" t="n"/>
      <c r="C15" s="22" t="n"/>
      <c r="D15" s="22" t="n"/>
      <c r="E15" s="22" t="n"/>
      <c r="F15" s="22" t="n"/>
      <c r="G15" s="22" t="n"/>
      <c r="H15" s="24" t="n"/>
      <c r="I15" s="24" t="n"/>
      <c r="J15" s="24" t="n"/>
      <c r="K15" s="25">
        <f>IF($A15="","",IFERROR(VLOOKUP($C15&amp;"|"&amp;$D15,'Settings &amp; Lists'!$A$11:$D$110,4,FALSE),""))</f>
        <v/>
      </c>
      <c r="L15" s="50" t="n"/>
      <c r="M15" s="50" t="n"/>
      <c r="N15" s="50" t="n"/>
      <c r="O15" s="50" t="n"/>
      <c r="P15" s="27">
        <f>IF($A15="","",IF($L15="","Needs Time",IF($O15&lt;&gt;"","Departed",IF($M15&lt;&gt;"",IF(NOW()&gt;$N15,"At Dock - Late","At Dock"),IF(NOW()&gt;$L15+IFERROR('Settings &amp; Lists'!$B$7/24,0),"Late Arrival",IF(NOW()+TIME(2,0,0)&gt;=$L15,"Due Soon","Scheduled"))))))</f>
        <v/>
      </c>
      <c r="Q15" s="51">
        <f>IF($A15="","",IFERROR(IF($M15="","",MAX(0,24*((IF($O15="",NOW(),$O15)-$M15)))),""))</f>
        <v/>
      </c>
      <c r="R15" s="51">
        <f>IF($A15="","",IFERROR($K15/'Settings &amp; Lists'!$B$4,""))</f>
        <v/>
      </c>
      <c r="S15" s="52">
        <f>IF($A15="","",IFERROR($R15*'Settings &amp; Lists'!$B$5,""))</f>
        <v/>
      </c>
      <c r="T15" s="52">
        <f>IF($A15="","",IFERROR($K15*VLOOKUP($E15,'Settings &amp; Lists'!$F$11:$G$110,2,FALSE),""))</f>
        <v/>
      </c>
      <c r="U15" s="52">
        <f>IF($A15="","",IFERROR($S15+$T15,""))</f>
        <v/>
      </c>
      <c r="V15" s="24" t="n"/>
      <c r="W15" s="30" t="n"/>
      <c r="X15" s="31" t="n"/>
    </row>
    <row r="16">
      <c r="A16" s="22" t="n"/>
      <c r="B16" s="49" t="n"/>
      <c r="C16" s="22" t="n"/>
      <c r="D16" s="22" t="n"/>
      <c r="E16" s="22" t="n"/>
      <c r="F16" s="22" t="n"/>
      <c r="G16" s="22" t="n"/>
      <c r="H16" s="24" t="n"/>
      <c r="I16" s="24" t="n"/>
      <c r="J16" s="24" t="n"/>
      <c r="K16" s="25">
        <f>IF($A16="","",IFERROR(VLOOKUP($C16&amp;"|"&amp;$D16,'Settings &amp; Lists'!$A$11:$D$110,4,FALSE),""))</f>
        <v/>
      </c>
      <c r="L16" s="50" t="n"/>
      <c r="M16" s="50" t="n"/>
      <c r="N16" s="50" t="n"/>
      <c r="O16" s="50" t="n"/>
      <c r="P16" s="27">
        <f>IF($A16="","",IF($L16="","Needs Time",IF($O16&lt;&gt;"","Departed",IF($M16&lt;&gt;"",IF(NOW()&gt;$N16,"At Dock - Late","At Dock"),IF(NOW()&gt;$L16+IFERROR('Settings &amp; Lists'!$B$7/24,0),"Late Arrival",IF(NOW()+TIME(2,0,0)&gt;=$L16,"Due Soon","Scheduled"))))))</f>
        <v/>
      </c>
      <c r="Q16" s="51">
        <f>IF($A16="","",IFERROR(IF($M16="","",MAX(0,24*((IF($O16="",NOW(),$O16)-$M16)))),""))</f>
        <v/>
      </c>
      <c r="R16" s="51">
        <f>IF($A16="","",IFERROR($K16/'Settings &amp; Lists'!$B$4,""))</f>
        <v/>
      </c>
      <c r="S16" s="52">
        <f>IF($A16="","",IFERROR($R16*'Settings &amp; Lists'!$B$5,""))</f>
        <v/>
      </c>
      <c r="T16" s="52">
        <f>IF($A16="","",IFERROR($K16*VLOOKUP($E16,'Settings &amp; Lists'!$F$11:$G$110,2,FALSE),""))</f>
        <v/>
      </c>
      <c r="U16" s="52">
        <f>IF($A16="","",IFERROR($S16+$T16,""))</f>
        <v/>
      </c>
      <c r="V16" s="24" t="n"/>
      <c r="W16" s="30" t="n"/>
      <c r="X16" s="31" t="n"/>
    </row>
    <row r="17">
      <c r="A17" s="22" t="n"/>
      <c r="B17" s="49" t="n"/>
      <c r="C17" s="22" t="n"/>
      <c r="D17" s="22" t="n"/>
      <c r="E17" s="22" t="n"/>
      <c r="F17" s="22" t="n"/>
      <c r="G17" s="22" t="n"/>
      <c r="H17" s="24" t="n"/>
      <c r="I17" s="24" t="n"/>
      <c r="J17" s="24" t="n"/>
      <c r="K17" s="25">
        <f>IF($A17="","",IFERROR(VLOOKUP($C17&amp;"|"&amp;$D17,'Settings &amp; Lists'!$A$11:$D$110,4,FALSE),""))</f>
        <v/>
      </c>
      <c r="L17" s="50" t="n"/>
      <c r="M17" s="50" t="n"/>
      <c r="N17" s="50" t="n"/>
      <c r="O17" s="50" t="n"/>
      <c r="P17" s="27">
        <f>IF($A17="","",IF($L17="","Needs Time",IF($O17&lt;&gt;"","Departed",IF($M17&lt;&gt;"",IF(NOW()&gt;$N17,"At Dock - Late","At Dock"),IF(NOW()&gt;$L17+IFERROR('Settings &amp; Lists'!$B$7/24,0),"Late Arrival",IF(NOW()+TIME(2,0,0)&gt;=$L17,"Due Soon","Scheduled"))))))</f>
        <v/>
      </c>
      <c r="Q17" s="51">
        <f>IF($A17="","",IFERROR(IF($M17="","",MAX(0,24*((IF($O17="",NOW(),$O17)-$M17)))),""))</f>
        <v/>
      </c>
      <c r="R17" s="51">
        <f>IF($A17="","",IFERROR($K17/'Settings &amp; Lists'!$B$4,""))</f>
        <v/>
      </c>
      <c r="S17" s="52">
        <f>IF($A17="","",IFERROR($R17*'Settings &amp; Lists'!$B$5,""))</f>
        <v/>
      </c>
      <c r="T17" s="52">
        <f>IF($A17="","",IFERROR($K17*VLOOKUP($E17,'Settings &amp; Lists'!$F$11:$G$110,2,FALSE),""))</f>
        <v/>
      </c>
      <c r="U17" s="52">
        <f>IF($A17="","",IFERROR($S17+$T17,""))</f>
        <v/>
      </c>
      <c r="V17" s="24" t="n"/>
      <c r="W17" s="30" t="n"/>
      <c r="X17" s="31" t="n"/>
    </row>
    <row r="18">
      <c r="A18" s="22" t="n"/>
      <c r="B18" s="49" t="n"/>
      <c r="C18" s="22" t="n"/>
      <c r="D18" s="22" t="n"/>
      <c r="E18" s="22" t="n"/>
      <c r="F18" s="22" t="n"/>
      <c r="G18" s="22" t="n"/>
      <c r="H18" s="24" t="n"/>
      <c r="I18" s="24" t="n"/>
      <c r="J18" s="24" t="n"/>
      <c r="K18" s="25">
        <f>IF($A18="","",IFERROR(VLOOKUP($C18&amp;"|"&amp;$D18,'Settings &amp; Lists'!$A$11:$D$110,4,FALSE),""))</f>
        <v/>
      </c>
      <c r="L18" s="50" t="n"/>
      <c r="M18" s="50" t="n"/>
      <c r="N18" s="50" t="n"/>
      <c r="O18" s="50" t="n"/>
      <c r="P18" s="27">
        <f>IF($A18="","",IF($L18="","Needs Time",IF($O18&lt;&gt;"","Departed",IF($M18&lt;&gt;"",IF(NOW()&gt;$N18,"At Dock - Late","At Dock"),IF(NOW()&gt;$L18+IFERROR('Settings &amp; Lists'!$B$7/24,0),"Late Arrival",IF(NOW()+TIME(2,0,0)&gt;=$L18,"Due Soon","Scheduled"))))))</f>
        <v/>
      </c>
      <c r="Q18" s="51">
        <f>IF($A18="","",IFERROR(IF($M18="","",MAX(0,24*((IF($O18="",NOW(),$O18)-$M18)))),""))</f>
        <v/>
      </c>
      <c r="R18" s="51">
        <f>IF($A18="","",IFERROR($K18/'Settings &amp; Lists'!$B$4,""))</f>
        <v/>
      </c>
      <c r="S18" s="52">
        <f>IF($A18="","",IFERROR($R18*'Settings &amp; Lists'!$B$5,""))</f>
        <v/>
      </c>
      <c r="T18" s="52">
        <f>IF($A18="","",IFERROR($K18*VLOOKUP($E18,'Settings &amp; Lists'!$F$11:$G$110,2,FALSE),""))</f>
        <v/>
      </c>
      <c r="U18" s="52">
        <f>IF($A18="","",IFERROR($S18+$T18,""))</f>
        <v/>
      </c>
      <c r="V18" s="24" t="n"/>
      <c r="W18" s="30" t="n"/>
      <c r="X18" s="31" t="n"/>
    </row>
    <row r="19">
      <c r="A19" s="22" t="n"/>
      <c r="B19" s="49" t="n"/>
      <c r="C19" s="22" t="n"/>
      <c r="D19" s="22" t="n"/>
      <c r="E19" s="22" t="n"/>
      <c r="F19" s="22" t="n"/>
      <c r="G19" s="22" t="n"/>
      <c r="H19" s="24" t="n"/>
      <c r="I19" s="24" t="n"/>
      <c r="J19" s="24" t="n"/>
      <c r="K19" s="25">
        <f>IF($A19="","",IFERROR(VLOOKUP($C19&amp;"|"&amp;$D19,'Settings &amp; Lists'!$A$11:$D$110,4,FALSE),""))</f>
        <v/>
      </c>
      <c r="L19" s="50" t="n"/>
      <c r="M19" s="50" t="n"/>
      <c r="N19" s="50" t="n"/>
      <c r="O19" s="50" t="n"/>
      <c r="P19" s="27">
        <f>IF($A19="","",IF($L19="","Needs Time",IF($O19&lt;&gt;"","Departed",IF($M19&lt;&gt;"",IF(NOW()&gt;$N19,"At Dock - Late","At Dock"),IF(NOW()&gt;$L19+IFERROR('Settings &amp; Lists'!$B$7/24,0),"Late Arrival",IF(NOW()+TIME(2,0,0)&gt;=$L19,"Due Soon","Scheduled"))))))</f>
        <v/>
      </c>
      <c r="Q19" s="51">
        <f>IF($A19="","",IFERROR(IF($M19="","",MAX(0,24*((IF($O19="",NOW(),$O19)-$M19)))),""))</f>
        <v/>
      </c>
      <c r="R19" s="51">
        <f>IF($A19="","",IFERROR($K19/'Settings &amp; Lists'!$B$4,""))</f>
        <v/>
      </c>
      <c r="S19" s="52">
        <f>IF($A19="","",IFERROR($R19*'Settings &amp; Lists'!$B$5,""))</f>
        <v/>
      </c>
      <c r="T19" s="52">
        <f>IF($A19="","",IFERROR($K19*VLOOKUP($E19,'Settings &amp; Lists'!$F$11:$G$110,2,FALSE),""))</f>
        <v/>
      </c>
      <c r="U19" s="52">
        <f>IF($A19="","",IFERROR($S19+$T19,""))</f>
        <v/>
      </c>
      <c r="V19" s="24" t="n"/>
      <c r="W19" s="30" t="n"/>
      <c r="X19" s="31" t="n"/>
    </row>
    <row r="20">
      <c r="A20" s="22" t="n"/>
      <c r="B20" s="49" t="n"/>
      <c r="C20" s="22" t="n"/>
      <c r="D20" s="22" t="n"/>
      <c r="E20" s="22" t="n"/>
      <c r="F20" s="22" t="n"/>
      <c r="G20" s="22" t="n"/>
      <c r="H20" s="24" t="n"/>
      <c r="I20" s="24" t="n"/>
      <c r="J20" s="24" t="n"/>
      <c r="K20" s="25">
        <f>IF($A20="","",IFERROR(VLOOKUP($C20&amp;"|"&amp;$D20,'Settings &amp; Lists'!$A$11:$D$110,4,FALSE),""))</f>
        <v/>
      </c>
      <c r="L20" s="50" t="n"/>
      <c r="M20" s="50" t="n"/>
      <c r="N20" s="50" t="n"/>
      <c r="O20" s="50" t="n"/>
      <c r="P20" s="27">
        <f>IF($A20="","",IF($L20="","Needs Time",IF($O20&lt;&gt;"","Departed",IF($M20&lt;&gt;"",IF(NOW()&gt;$N20,"At Dock - Late","At Dock"),IF(NOW()&gt;$L20+IFERROR('Settings &amp; Lists'!$B$7/24,0),"Late Arrival",IF(NOW()+TIME(2,0,0)&gt;=$L20,"Due Soon","Scheduled"))))))</f>
        <v/>
      </c>
      <c r="Q20" s="51">
        <f>IF($A20="","",IFERROR(IF($M20="","",MAX(0,24*((IF($O20="",NOW(),$O20)-$M20)))),""))</f>
        <v/>
      </c>
      <c r="R20" s="51">
        <f>IF($A20="","",IFERROR($K20/'Settings &amp; Lists'!$B$4,""))</f>
        <v/>
      </c>
      <c r="S20" s="52">
        <f>IF($A20="","",IFERROR($R20*'Settings &amp; Lists'!$B$5,""))</f>
        <v/>
      </c>
      <c r="T20" s="52">
        <f>IF($A20="","",IFERROR($K20*VLOOKUP($E20,'Settings &amp; Lists'!$F$11:$G$110,2,FALSE),""))</f>
        <v/>
      </c>
      <c r="U20" s="52">
        <f>IF($A20="","",IFERROR($S20+$T20,""))</f>
        <v/>
      </c>
      <c r="V20" s="24" t="n"/>
      <c r="W20" s="30" t="n"/>
      <c r="X20" s="31" t="n"/>
    </row>
    <row r="21">
      <c r="A21" s="22" t="n"/>
      <c r="B21" s="49" t="n"/>
      <c r="C21" s="22" t="n"/>
      <c r="D21" s="22" t="n"/>
      <c r="E21" s="22" t="n"/>
      <c r="F21" s="22" t="n"/>
      <c r="G21" s="22" t="n"/>
      <c r="H21" s="24" t="n"/>
      <c r="I21" s="24" t="n"/>
      <c r="J21" s="24" t="n"/>
      <c r="K21" s="25">
        <f>IF($A21="","",IFERROR(VLOOKUP($C21&amp;"|"&amp;$D21,'Settings &amp; Lists'!$A$11:$D$110,4,FALSE),""))</f>
        <v/>
      </c>
      <c r="L21" s="50" t="n"/>
      <c r="M21" s="50" t="n"/>
      <c r="N21" s="50" t="n"/>
      <c r="O21" s="50" t="n"/>
      <c r="P21" s="27">
        <f>IF($A21="","",IF($L21="","Needs Time",IF($O21&lt;&gt;"","Departed",IF($M21&lt;&gt;"",IF(NOW()&gt;$N21,"At Dock - Late","At Dock"),IF(NOW()&gt;$L21+IFERROR('Settings &amp; Lists'!$B$7/24,0),"Late Arrival",IF(NOW()+TIME(2,0,0)&gt;=$L21,"Due Soon","Scheduled"))))))</f>
        <v/>
      </c>
      <c r="Q21" s="51">
        <f>IF($A21="","",IFERROR(IF($M21="","",MAX(0,24*((IF($O21="",NOW(),$O21)-$M21)))),""))</f>
        <v/>
      </c>
      <c r="R21" s="51">
        <f>IF($A21="","",IFERROR($K21/'Settings &amp; Lists'!$B$4,""))</f>
        <v/>
      </c>
      <c r="S21" s="52">
        <f>IF($A21="","",IFERROR($R21*'Settings &amp; Lists'!$B$5,""))</f>
        <v/>
      </c>
      <c r="T21" s="52">
        <f>IF($A21="","",IFERROR($K21*VLOOKUP($E21,'Settings &amp; Lists'!$F$11:$G$110,2,FALSE),""))</f>
        <v/>
      </c>
      <c r="U21" s="52">
        <f>IF($A21="","",IFERROR($S21+$T21,""))</f>
        <v/>
      </c>
      <c r="V21" s="24" t="n"/>
      <c r="W21" s="30" t="n"/>
      <c r="X21" s="31" t="n"/>
    </row>
    <row r="22">
      <c r="A22" s="22" t="n"/>
      <c r="B22" s="49" t="n"/>
      <c r="C22" s="22" t="n"/>
      <c r="D22" s="22" t="n"/>
      <c r="E22" s="22" t="n"/>
      <c r="F22" s="22" t="n"/>
      <c r="G22" s="22" t="n"/>
      <c r="H22" s="24" t="n"/>
      <c r="I22" s="24" t="n"/>
      <c r="J22" s="24" t="n"/>
      <c r="K22" s="25">
        <f>IF($A22="","",IFERROR(VLOOKUP($C22&amp;"|"&amp;$D22,'Settings &amp; Lists'!$A$11:$D$110,4,FALSE),""))</f>
        <v/>
      </c>
      <c r="L22" s="50" t="n"/>
      <c r="M22" s="50" t="n"/>
      <c r="N22" s="50" t="n"/>
      <c r="O22" s="50" t="n"/>
      <c r="P22" s="27">
        <f>IF($A22="","",IF($L22="","Needs Time",IF($O22&lt;&gt;"","Departed",IF($M22&lt;&gt;"",IF(NOW()&gt;$N22,"At Dock - Late","At Dock"),IF(NOW()&gt;$L22+IFERROR('Settings &amp; Lists'!$B$7/24,0),"Late Arrival",IF(NOW()+TIME(2,0,0)&gt;=$L22,"Due Soon","Scheduled"))))))</f>
        <v/>
      </c>
      <c r="Q22" s="51">
        <f>IF($A22="","",IFERROR(IF($M22="","",MAX(0,24*((IF($O22="",NOW(),$O22)-$M22)))),""))</f>
        <v/>
      </c>
      <c r="R22" s="51">
        <f>IF($A22="","",IFERROR($K22/'Settings &amp; Lists'!$B$4,""))</f>
        <v/>
      </c>
      <c r="S22" s="52">
        <f>IF($A22="","",IFERROR($R22*'Settings &amp; Lists'!$B$5,""))</f>
        <v/>
      </c>
      <c r="T22" s="52">
        <f>IF($A22="","",IFERROR($K22*VLOOKUP($E22,'Settings &amp; Lists'!$F$11:$G$110,2,FALSE),""))</f>
        <v/>
      </c>
      <c r="U22" s="52">
        <f>IF($A22="","",IFERROR($S22+$T22,""))</f>
        <v/>
      </c>
      <c r="V22" s="24" t="n"/>
      <c r="W22" s="30" t="n"/>
      <c r="X22" s="31" t="n"/>
    </row>
    <row r="23">
      <c r="A23" s="22" t="n"/>
      <c r="B23" s="49" t="n"/>
      <c r="C23" s="22" t="n"/>
      <c r="D23" s="22" t="n"/>
      <c r="E23" s="22" t="n"/>
      <c r="F23" s="22" t="n"/>
      <c r="G23" s="22" t="n"/>
      <c r="H23" s="24" t="n"/>
      <c r="I23" s="24" t="n"/>
      <c r="J23" s="24" t="n"/>
      <c r="K23" s="25">
        <f>IF($A23="","",IFERROR(VLOOKUP($C23&amp;"|"&amp;$D23,'Settings &amp; Lists'!$A$11:$D$110,4,FALSE),""))</f>
        <v/>
      </c>
      <c r="L23" s="50" t="n"/>
      <c r="M23" s="50" t="n"/>
      <c r="N23" s="50" t="n"/>
      <c r="O23" s="50" t="n"/>
      <c r="P23" s="27">
        <f>IF($A23="","",IF($L23="","Needs Time",IF($O23&lt;&gt;"","Departed",IF($M23&lt;&gt;"",IF(NOW()&gt;$N23,"At Dock - Late","At Dock"),IF(NOW()&gt;$L23+IFERROR('Settings &amp; Lists'!$B$7/24,0),"Late Arrival",IF(NOW()+TIME(2,0,0)&gt;=$L23,"Due Soon","Scheduled"))))))</f>
        <v/>
      </c>
      <c r="Q23" s="51">
        <f>IF($A23="","",IFERROR(IF($M23="","",MAX(0,24*((IF($O23="",NOW(),$O23)-$M23)))),""))</f>
        <v/>
      </c>
      <c r="R23" s="51">
        <f>IF($A23="","",IFERROR($K23/'Settings &amp; Lists'!$B$4,""))</f>
        <v/>
      </c>
      <c r="S23" s="52">
        <f>IF($A23="","",IFERROR($R23*'Settings &amp; Lists'!$B$5,""))</f>
        <v/>
      </c>
      <c r="T23" s="52">
        <f>IF($A23="","",IFERROR($K23*VLOOKUP($E23,'Settings &amp; Lists'!$F$11:$G$110,2,FALSE),""))</f>
        <v/>
      </c>
      <c r="U23" s="52">
        <f>IF($A23="","",IFERROR($S23+$T23,""))</f>
        <v/>
      </c>
      <c r="V23" s="24" t="n"/>
      <c r="W23" s="30" t="n"/>
      <c r="X23" s="31" t="n"/>
    </row>
    <row r="24">
      <c r="A24" s="22" t="n"/>
      <c r="B24" s="49" t="n"/>
      <c r="C24" s="22" t="n"/>
      <c r="D24" s="22" t="n"/>
      <c r="E24" s="22" t="n"/>
      <c r="F24" s="22" t="n"/>
      <c r="G24" s="22" t="n"/>
      <c r="H24" s="24" t="n"/>
      <c r="I24" s="24" t="n"/>
      <c r="J24" s="24" t="n"/>
      <c r="K24" s="25">
        <f>IF($A24="","",IFERROR(VLOOKUP($C24&amp;"|"&amp;$D24,'Settings &amp; Lists'!$A$11:$D$110,4,FALSE),""))</f>
        <v/>
      </c>
      <c r="L24" s="50" t="n"/>
      <c r="M24" s="50" t="n"/>
      <c r="N24" s="50" t="n"/>
      <c r="O24" s="50" t="n"/>
      <c r="P24" s="27">
        <f>IF($A24="","",IF($L24="","Needs Time",IF($O24&lt;&gt;"","Departed",IF($M24&lt;&gt;"",IF(NOW()&gt;$N24,"At Dock - Late","At Dock"),IF(NOW()&gt;$L24+IFERROR('Settings &amp; Lists'!$B$7/24,0),"Late Arrival",IF(NOW()+TIME(2,0,0)&gt;=$L24,"Due Soon","Scheduled"))))))</f>
        <v/>
      </c>
      <c r="Q24" s="51">
        <f>IF($A24="","",IFERROR(IF($M24="","",MAX(0,24*((IF($O24="",NOW(),$O24)-$M24)))),""))</f>
        <v/>
      </c>
      <c r="R24" s="51">
        <f>IF($A24="","",IFERROR($K24/'Settings &amp; Lists'!$B$4,""))</f>
        <v/>
      </c>
      <c r="S24" s="52">
        <f>IF($A24="","",IFERROR($R24*'Settings &amp; Lists'!$B$5,""))</f>
        <v/>
      </c>
      <c r="T24" s="52">
        <f>IF($A24="","",IFERROR($K24*VLOOKUP($E24,'Settings &amp; Lists'!$F$11:$G$110,2,FALSE),""))</f>
        <v/>
      </c>
      <c r="U24" s="52">
        <f>IF($A24="","",IFERROR($S24+$T24,""))</f>
        <v/>
      </c>
      <c r="V24" s="24" t="n"/>
      <c r="W24" s="30" t="n"/>
      <c r="X24" s="31" t="n"/>
    </row>
    <row r="25">
      <c r="A25" s="22" t="n"/>
      <c r="B25" s="49" t="n"/>
      <c r="C25" s="22" t="n"/>
      <c r="D25" s="22" t="n"/>
      <c r="E25" s="22" t="n"/>
      <c r="F25" s="22" t="n"/>
      <c r="G25" s="22" t="n"/>
      <c r="H25" s="24" t="n"/>
      <c r="I25" s="24" t="n"/>
      <c r="J25" s="24" t="n"/>
      <c r="K25" s="25">
        <f>IF($A25="","",IFERROR(VLOOKUP($C25&amp;"|"&amp;$D25,'Settings &amp; Lists'!$A$11:$D$110,4,FALSE),""))</f>
        <v/>
      </c>
      <c r="L25" s="50" t="n"/>
      <c r="M25" s="50" t="n"/>
      <c r="N25" s="50" t="n"/>
      <c r="O25" s="50" t="n"/>
      <c r="P25" s="27">
        <f>IF($A25="","",IF($L25="","Needs Time",IF($O25&lt;&gt;"","Departed",IF($M25&lt;&gt;"",IF(NOW()&gt;$N25,"At Dock - Late","At Dock"),IF(NOW()&gt;$L25+IFERROR('Settings &amp; Lists'!$B$7/24,0),"Late Arrival",IF(NOW()+TIME(2,0,0)&gt;=$L25,"Due Soon","Scheduled"))))))</f>
        <v/>
      </c>
      <c r="Q25" s="51">
        <f>IF($A25="","",IFERROR(IF($M25="","",MAX(0,24*((IF($O25="",NOW(),$O25)-$M25)))),""))</f>
        <v/>
      </c>
      <c r="R25" s="51">
        <f>IF($A25="","",IFERROR($K25/'Settings &amp; Lists'!$B$4,""))</f>
        <v/>
      </c>
      <c r="S25" s="52">
        <f>IF($A25="","",IFERROR($R25*'Settings &amp; Lists'!$B$5,""))</f>
        <v/>
      </c>
      <c r="T25" s="52">
        <f>IF($A25="","",IFERROR($K25*VLOOKUP($E25,'Settings &amp; Lists'!$F$11:$G$110,2,FALSE),""))</f>
        <v/>
      </c>
      <c r="U25" s="52">
        <f>IF($A25="","",IFERROR($S25+$T25,""))</f>
        <v/>
      </c>
      <c r="V25" s="24" t="n"/>
      <c r="W25" s="30" t="n"/>
      <c r="X25" s="31" t="n"/>
    </row>
    <row r="26">
      <c r="A26" s="22" t="n"/>
      <c r="B26" s="49" t="n"/>
      <c r="C26" s="22" t="n"/>
      <c r="D26" s="22" t="n"/>
      <c r="E26" s="22" t="n"/>
      <c r="F26" s="22" t="n"/>
      <c r="G26" s="22" t="n"/>
      <c r="H26" s="24" t="n"/>
      <c r="I26" s="24" t="n"/>
      <c r="J26" s="24" t="n"/>
      <c r="K26" s="25">
        <f>IF($A26="","",IFERROR(VLOOKUP($C26&amp;"|"&amp;$D26,'Settings &amp; Lists'!$A$11:$D$110,4,FALSE),""))</f>
        <v/>
      </c>
      <c r="L26" s="50" t="n"/>
      <c r="M26" s="50" t="n"/>
      <c r="N26" s="50" t="n"/>
      <c r="O26" s="50" t="n"/>
      <c r="P26" s="27">
        <f>IF($A26="","",IF($L26="","Needs Time",IF($O26&lt;&gt;"","Departed",IF($M26&lt;&gt;"",IF(NOW()&gt;$N26,"At Dock - Late","At Dock"),IF(NOW()&gt;$L26+IFERROR('Settings &amp; Lists'!$B$7/24,0),"Late Arrival",IF(NOW()+TIME(2,0,0)&gt;=$L26,"Due Soon","Scheduled"))))))</f>
        <v/>
      </c>
      <c r="Q26" s="51">
        <f>IF($A26="","",IFERROR(IF($M26="","",MAX(0,24*((IF($O26="",NOW(),$O26)-$M26)))),""))</f>
        <v/>
      </c>
      <c r="R26" s="51">
        <f>IF($A26="","",IFERROR($K26/'Settings &amp; Lists'!$B$4,""))</f>
        <v/>
      </c>
      <c r="S26" s="52">
        <f>IF($A26="","",IFERROR($R26*'Settings &amp; Lists'!$B$5,""))</f>
        <v/>
      </c>
      <c r="T26" s="52">
        <f>IF($A26="","",IFERROR($K26*VLOOKUP($E26,'Settings &amp; Lists'!$F$11:$G$110,2,FALSE),""))</f>
        <v/>
      </c>
      <c r="U26" s="52">
        <f>IF($A26="","",IFERROR($S26+$T26,""))</f>
        <v/>
      </c>
      <c r="V26" s="24" t="n"/>
      <c r="W26" s="30" t="n"/>
      <c r="X26" s="31" t="n"/>
    </row>
    <row r="27">
      <c r="A27" s="22" t="n"/>
      <c r="B27" s="49" t="n"/>
      <c r="C27" s="22" t="n"/>
      <c r="D27" s="22" t="n"/>
      <c r="E27" s="22" t="n"/>
      <c r="F27" s="22" t="n"/>
      <c r="G27" s="22" t="n"/>
      <c r="H27" s="24" t="n"/>
      <c r="I27" s="24" t="n"/>
      <c r="J27" s="24" t="n"/>
      <c r="K27" s="25">
        <f>IF($A27="","",IFERROR(VLOOKUP($C27&amp;"|"&amp;$D27,'Settings &amp; Lists'!$A$11:$D$110,4,FALSE),""))</f>
        <v/>
      </c>
      <c r="L27" s="50" t="n"/>
      <c r="M27" s="50" t="n"/>
      <c r="N27" s="50" t="n"/>
      <c r="O27" s="50" t="n"/>
      <c r="P27" s="27">
        <f>IF($A27="","",IF($L27="","Needs Time",IF($O27&lt;&gt;"","Departed",IF($M27&lt;&gt;"",IF(NOW()&gt;$N27,"At Dock - Late","At Dock"),IF(NOW()&gt;$L27+IFERROR('Settings &amp; Lists'!$B$7/24,0),"Late Arrival",IF(NOW()+TIME(2,0,0)&gt;=$L27,"Due Soon","Scheduled"))))))</f>
        <v/>
      </c>
      <c r="Q27" s="51">
        <f>IF($A27="","",IFERROR(IF($M27="","",MAX(0,24*((IF($O27="",NOW(),$O27)-$M27)))),""))</f>
        <v/>
      </c>
      <c r="R27" s="51">
        <f>IF($A27="","",IFERROR($K27/'Settings &amp; Lists'!$B$4,""))</f>
        <v/>
      </c>
      <c r="S27" s="52">
        <f>IF($A27="","",IFERROR($R27*'Settings &amp; Lists'!$B$5,""))</f>
        <v/>
      </c>
      <c r="T27" s="52">
        <f>IF($A27="","",IFERROR($K27*VLOOKUP($E27,'Settings &amp; Lists'!$F$11:$G$110,2,FALSE),""))</f>
        <v/>
      </c>
      <c r="U27" s="52">
        <f>IF($A27="","",IFERROR($S27+$T27,""))</f>
        <v/>
      </c>
      <c r="V27" s="24" t="n"/>
      <c r="W27" s="30" t="n"/>
      <c r="X27" s="31" t="n"/>
    </row>
    <row r="28">
      <c r="A28" s="22" t="n"/>
      <c r="B28" s="49" t="n"/>
      <c r="C28" s="22" t="n"/>
      <c r="D28" s="22" t="n"/>
      <c r="E28" s="22" t="n"/>
      <c r="F28" s="22" t="n"/>
      <c r="G28" s="22" t="n"/>
      <c r="H28" s="24" t="n"/>
      <c r="I28" s="24" t="n"/>
      <c r="J28" s="24" t="n"/>
      <c r="K28" s="25">
        <f>IF($A28="","",IFERROR(VLOOKUP($C28&amp;"|"&amp;$D28,'Settings &amp; Lists'!$A$11:$D$110,4,FALSE),""))</f>
        <v/>
      </c>
      <c r="L28" s="50" t="n"/>
      <c r="M28" s="50" t="n"/>
      <c r="N28" s="50" t="n"/>
      <c r="O28" s="50" t="n"/>
      <c r="P28" s="27">
        <f>IF($A28="","",IF($L28="","Needs Time",IF($O28&lt;&gt;"","Departed",IF($M28&lt;&gt;"",IF(NOW()&gt;$N28,"At Dock - Late","At Dock"),IF(NOW()&gt;$L28+IFERROR('Settings &amp; Lists'!$B$7/24,0),"Late Arrival",IF(NOW()+TIME(2,0,0)&gt;=$L28,"Due Soon","Scheduled"))))))</f>
        <v/>
      </c>
      <c r="Q28" s="51">
        <f>IF($A28="","",IFERROR(IF($M28="","",MAX(0,24*((IF($O28="",NOW(),$O28)-$M28)))),""))</f>
        <v/>
      </c>
      <c r="R28" s="51">
        <f>IF($A28="","",IFERROR($K28/'Settings &amp; Lists'!$B$4,""))</f>
        <v/>
      </c>
      <c r="S28" s="52">
        <f>IF($A28="","",IFERROR($R28*'Settings &amp; Lists'!$B$5,""))</f>
        <v/>
      </c>
      <c r="T28" s="52">
        <f>IF($A28="","",IFERROR($K28*VLOOKUP($E28,'Settings &amp; Lists'!$F$11:$G$110,2,FALSE),""))</f>
        <v/>
      </c>
      <c r="U28" s="52">
        <f>IF($A28="","",IFERROR($S28+$T28,""))</f>
        <v/>
      </c>
      <c r="V28" s="24" t="n"/>
      <c r="W28" s="30" t="n"/>
      <c r="X28" s="31" t="n"/>
    </row>
    <row r="29">
      <c r="A29" s="22" t="n"/>
      <c r="B29" s="49" t="n"/>
      <c r="C29" s="22" t="n"/>
      <c r="D29" s="22" t="n"/>
      <c r="E29" s="22" t="n"/>
      <c r="F29" s="22" t="n"/>
      <c r="G29" s="22" t="n"/>
      <c r="H29" s="24" t="n"/>
      <c r="I29" s="24" t="n"/>
      <c r="J29" s="24" t="n"/>
      <c r="K29" s="25">
        <f>IF($A29="","",IFERROR(VLOOKUP($C29&amp;"|"&amp;$D29,'Settings &amp; Lists'!$A$11:$D$110,4,FALSE),""))</f>
        <v/>
      </c>
      <c r="L29" s="50" t="n"/>
      <c r="M29" s="50" t="n"/>
      <c r="N29" s="50" t="n"/>
      <c r="O29" s="50" t="n"/>
      <c r="P29" s="27">
        <f>IF($A29="","",IF($L29="","Needs Time",IF($O29&lt;&gt;"","Departed",IF($M29&lt;&gt;"",IF(NOW()&gt;$N29,"At Dock - Late","At Dock"),IF(NOW()&gt;$L29+IFERROR('Settings &amp; Lists'!$B$7/24,0),"Late Arrival",IF(NOW()+TIME(2,0,0)&gt;=$L29,"Due Soon","Scheduled"))))))</f>
        <v/>
      </c>
      <c r="Q29" s="51">
        <f>IF($A29="","",IFERROR(IF($M29="","",MAX(0,24*((IF($O29="",NOW(),$O29)-$M29)))),""))</f>
        <v/>
      </c>
      <c r="R29" s="51">
        <f>IF($A29="","",IFERROR($K29/'Settings &amp; Lists'!$B$4,""))</f>
        <v/>
      </c>
      <c r="S29" s="52">
        <f>IF($A29="","",IFERROR($R29*'Settings &amp; Lists'!$B$5,""))</f>
        <v/>
      </c>
      <c r="T29" s="52">
        <f>IF($A29="","",IFERROR($K29*VLOOKUP($E29,'Settings &amp; Lists'!$F$11:$G$110,2,FALSE),""))</f>
        <v/>
      </c>
      <c r="U29" s="52">
        <f>IF($A29="","",IFERROR($S29+$T29,""))</f>
        <v/>
      </c>
      <c r="V29" s="24" t="n"/>
      <c r="W29" s="30" t="n"/>
      <c r="X29" s="31" t="n"/>
    </row>
    <row r="30">
      <c r="A30" s="22" t="n"/>
      <c r="B30" s="49" t="n"/>
      <c r="C30" s="22" t="n"/>
      <c r="D30" s="22" t="n"/>
      <c r="E30" s="22" t="n"/>
      <c r="F30" s="22" t="n"/>
      <c r="G30" s="22" t="n"/>
      <c r="H30" s="24" t="n"/>
      <c r="I30" s="24" t="n"/>
      <c r="J30" s="24" t="n"/>
      <c r="K30" s="25">
        <f>IF($A30="","",IFERROR(VLOOKUP($C30&amp;"|"&amp;$D30,'Settings &amp; Lists'!$A$11:$D$110,4,FALSE),""))</f>
        <v/>
      </c>
      <c r="L30" s="50" t="n"/>
      <c r="M30" s="50" t="n"/>
      <c r="N30" s="50" t="n"/>
      <c r="O30" s="50" t="n"/>
      <c r="P30" s="27">
        <f>IF($A30="","",IF($L30="","Needs Time",IF($O30&lt;&gt;"","Departed",IF($M30&lt;&gt;"",IF(NOW()&gt;$N30,"At Dock - Late","At Dock"),IF(NOW()&gt;$L30+IFERROR('Settings &amp; Lists'!$B$7/24,0),"Late Arrival",IF(NOW()+TIME(2,0,0)&gt;=$L30,"Due Soon","Scheduled"))))))</f>
        <v/>
      </c>
      <c r="Q30" s="51">
        <f>IF($A30="","",IFERROR(IF($M30="","",MAX(0,24*((IF($O30="",NOW(),$O30)-$M30)))),""))</f>
        <v/>
      </c>
      <c r="R30" s="51">
        <f>IF($A30="","",IFERROR($K30/'Settings &amp; Lists'!$B$4,""))</f>
        <v/>
      </c>
      <c r="S30" s="52">
        <f>IF($A30="","",IFERROR($R30*'Settings &amp; Lists'!$B$5,""))</f>
        <v/>
      </c>
      <c r="T30" s="52">
        <f>IF($A30="","",IFERROR($K30*VLOOKUP($E30,'Settings &amp; Lists'!$F$11:$G$110,2,FALSE),""))</f>
        <v/>
      </c>
      <c r="U30" s="52">
        <f>IF($A30="","",IFERROR($S30+$T30,""))</f>
        <v/>
      </c>
      <c r="V30" s="24" t="n"/>
      <c r="W30" s="30" t="n"/>
      <c r="X30" s="31" t="n"/>
    </row>
    <row r="31">
      <c r="A31" s="22" t="n"/>
      <c r="B31" s="49" t="n"/>
      <c r="C31" s="22" t="n"/>
      <c r="D31" s="22" t="n"/>
      <c r="E31" s="22" t="n"/>
      <c r="F31" s="22" t="n"/>
      <c r="G31" s="22" t="n"/>
      <c r="H31" s="24" t="n"/>
      <c r="I31" s="24" t="n"/>
      <c r="J31" s="24" t="n"/>
      <c r="K31" s="25">
        <f>IF($A31="","",IFERROR(VLOOKUP($C31&amp;"|"&amp;$D31,'Settings &amp; Lists'!$A$11:$D$110,4,FALSE),""))</f>
        <v/>
      </c>
      <c r="L31" s="50" t="n"/>
      <c r="M31" s="50" t="n"/>
      <c r="N31" s="50" t="n"/>
      <c r="O31" s="50" t="n"/>
      <c r="P31" s="27">
        <f>IF($A31="","",IF($L31="","Needs Time",IF($O31&lt;&gt;"","Departed",IF($M31&lt;&gt;"",IF(NOW()&gt;$N31,"At Dock - Late","At Dock"),IF(NOW()&gt;$L31+IFERROR('Settings &amp; Lists'!$B$7/24,0),"Late Arrival",IF(NOW()+TIME(2,0,0)&gt;=$L31,"Due Soon","Scheduled"))))))</f>
        <v/>
      </c>
      <c r="Q31" s="51">
        <f>IF($A31="","",IFERROR(IF($M31="","",MAX(0,24*((IF($O31="",NOW(),$O31)-$M31)))),""))</f>
        <v/>
      </c>
      <c r="R31" s="51">
        <f>IF($A31="","",IFERROR($K31/'Settings &amp; Lists'!$B$4,""))</f>
        <v/>
      </c>
      <c r="S31" s="52">
        <f>IF($A31="","",IFERROR($R31*'Settings &amp; Lists'!$B$5,""))</f>
        <v/>
      </c>
      <c r="T31" s="52">
        <f>IF($A31="","",IFERROR($K31*VLOOKUP($E31,'Settings &amp; Lists'!$F$11:$G$110,2,FALSE),""))</f>
        <v/>
      </c>
      <c r="U31" s="52">
        <f>IF($A31="","",IFERROR($S31+$T31,""))</f>
        <v/>
      </c>
      <c r="V31" s="24" t="n"/>
      <c r="W31" s="30" t="n"/>
      <c r="X31" s="31" t="n"/>
    </row>
    <row r="32">
      <c r="A32" s="22" t="n"/>
      <c r="B32" s="49" t="n"/>
      <c r="C32" s="22" t="n"/>
      <c r="D32" s="22" t="n"/>
      <c r="E32" s="22" t="n"/>
      <c r="F32" s="22" t="n"/>
      <c r="G32" s="22" t="n"/>
      <c r="H32" s="24" t="n"/>
      <c r="I32" s="24" t="n"/>
      <c r="J32" s="24" t="n"/>
      <c r="K32" s="25">
        <f>IF($A32="","",IFERROR(VLOOKUP($C32&amp;"|"&amp;$D32,'Settings &amp; Lists'!$A$11:$D$110,4,FALSE),""))</f>
        <v/>
      </c>
      <c r="L32" s="50" t="n"/>
      <c r="M32" s="50" t="n"/>
      <c r="N32" s="50" t="n"/>
      <c r="O32" s="50" t="n"/>
      <c r="P32" s="27">
        <f>IF($A32="","",IF($L32="","Needs Time",IF($O32&lt;&gt;"","Departed",IF($M32&lt;&gt;"",IF(NOW()&gt;$N32,"At Dock - Late","At Dock"),IF(NOW()&gt;$L32+IFERROR('Settings &amp; Lists'!$B$7/24,0),"Late Arrival",IF(NOW()+TIME(2,0,0)&gt;=$L32,"Due Soon","Scheduled"))))))</f>
        <v/>
      </c>
      <c r="Q32" s="51">
        <f>IF($A32="","",IFERROR(IF($M32="","",MAX(0,24*((IF($O32="",NOW(),$O32)-$M32)))),""))</f>
        <v/>
      </c>
      <c r="R32" s="51">
        <f>IF($A32="","",IFERROR($K32/'Settings &amp; Lists'!$B$4,""))</f>
        <v/>
      </c>
      <c r="S32" s="52">
        <f>IF($A32="","",IFERROR($R32*'Settings &amp; Lists'!$B$5,""))</f>
        <v/>
      </c>
      <c r="T32" s="52">
        <f>IF($A32="","",IFERROR($K32*VLOOKUP($E32,'Settings &amp; Lists'!$F$11:$G$110,2,FALSE),""))</f>
        <v/>
      </c>
      <c r="U32" s="52">
        <f>IF($A32="","",IFERROR($S32+$T32,""))</f>
        <v/>
      </c>
      <c r="V32" s="24" t="n"/>
      <c r="W32" s="30" t="n"/>
      <c r="X32" s="31" t="n"/>
    </row>
    <row r="33">
      <c r="A33" s="22" t="n"/>
      <c r="B33" s="49" t="n"/>
      <c r="C33" s="22" t="n"/>
      <c r="D33" s="22" t="n"/>
      <c r="E33" s="22" t="n"/>
      <c r="F33" s="22" t="n"/>
      <c r="G33" s="22" t="n"/>
      <c r="H33" s="24" t="n"/>
      <c r="I33" s="24" t="n"/>
      <c r="J33" s="24" t="n"/>
      <c r="K33" s="25">
        <f>IF($A33="","",IFERROR(VLOOKUP($C33&amp;"|"&amp;$D33,'Settings &amp; Lists'!$A$11:$D$110,4,FALSE),""))</f>
        <v/>
      </c>
      <c r="L33" s="50" t="n"/>
      <c r="M33" s="50" t="n"/>
      <c r="N33" s="50" t="n"/>
      <c r="O33" s="50" t="n"/>
      <c r="P33" s="27">
        <f>IF($A33="","",IF($L33="","Needs Time",IF($O33&lt;&gt;"","Departed",IF($M33&lt;&gt;"",IF(NOW()&gt;$N33,"At Dock - Late","At Dock"),IF(NOW()&gt;$L33+IFERROR('Settings &amp; Lists'!$B$7/24,0),"Late Arrival",IF(NOW()+TIME(2,0,0)&gt;=$L33,"Due Soon","Scheduled"))))))</f>
        <v/>
      </c>
      <c r="Q33" s="51">
        <f>IF($A33="","",IFERROR(IF($M33="","",MAX(0,24*((IF($O33="",NOW(),$O33)-$M33)))),""))</f>
        <v/>
      </c>
      <c r="R33" s="51">
        <f>IF($A33="","",IFERROR($K33/'Settings &amp; Lists'!$B$4,""))</f>
        <v/>
      </c>
      <c r="S33" s="52">
        <f>IF($A33="","",IFERROR($R33*'Settings &amp; Lists'!$B$5,""))</f>
        <v/>
      </c>
      <c r="T33" s="52">
        <f>IF($A33="","",IFERROR($K33*VLOOKUP($E33,'Settings &amp; Lists'!$F$11:$G$110,2,FALSE),""))</f>
        <v/>
      </c>
      <c r="U33" s="52">
        <f>IF($A33="","",IFERROR($S33+$T33,""))</f>
        <v/>
      </c>
      <c r="V33" s="24" t="n"/>
      <c r="W33" s="30" t="n"/>
      <c r="X33" s="31" t="n"/>
    </row>
    <row r="34">
      <c r="A34" s="22" t="n"/>
      <c r="B34" s="49" t="n"/>
      <c r="C34" s="22" t="n"/>
      <c r="D34" s="22" t="n"/>
      <c r="E34" s="22" t="n"/>
      <c r="F34" s="22" t="n"/>
      <c r="G34" s="22" t="n"/>
      <c r="H34" s="24" t="n"/>
      <c r="I34" s="24" t="n"/>
      <c r="J34" s="24" t="n"/>
      <c r="K34" s="25">
        <f>IF($A34="","",IFERROR(VLOOKUP($C34&amp;"|"&amp;$D34,'Settings &amp; Lists'!$A$11:$D$110,4,FALSE),""))</f>
        <v/>
      </c>
      <c r="L34" s="50" t="n"/>
      <c r="M34" s="50" t="n"/>
      <c r="N34" s="50" t="n"/>
      <c r="O34" s="50" t="n"/>
      <c r="P34" s="27">
        <f>IF($A34="","",IF($L34="","Needs Time",IF($O34&lt;&gt;"","Departed",IF($M34&lt;&gt;"",IF(NOW()&gt;$N34,"At Dock - Late","At Dock"),IF(NOW()&gt;$L34+IFERROR('Settings &amp; Lists'!$B$7/24,0),"Late Arrival",IF(NOW()+TIME(2,0,0)&gt;=$L34,"Due Soon","Scheduled"))))))</f>
        <v/>
      </c>
      <c r="Q34" s="51">
        <f>IF($A34="","",IFERROR(IF($M34="","",MAX(0,24*((IF($O34="",NOW(),$O34)-$M34)))),""))</f>
        <v/>
      </c>
      <c r="R34" s="51">
        <f>IF($A34="","",IFERROR($K34/'Settings &amp; Lists'!$B$4,""))</f>
        <v/>
      </c>
      <c r="S34" s="52">
        <f>IF($A34="","",IFERROR($R34*'Settings &amp; Lists'!$B$5,""))</f>
        <v/>
      </c>
      <c r="T34" s="52">
        <f>IF($A34="","",IFERROR($K34*VLOOKUP($E34,'Settings &amp; Lists'!$F$11:$G$110,2,FALSE),""))</f>
        <v/>
      </c>
      <c r="U34" s="52">
        <f>IF($A34="","",IFERROR($S34+$T34,""))</f>
        <v/>
      </c>
      <c r="V34" s="24" t="n"/>
      <c r="W34" s="30" t="n"/>
      <c r="X34" s="31" t="n"/>
    </row>
    <row r="35">
      <c r="A35" s="22" t="n"/>
      <c r="B35" s="49" t="n"/>
      <c r="C35" s="22" t="n"/>
      <c r="D35" s="22" t="n"/>
      <c r="E35" s="22" t="n"/>
      <c r="F35" s="22" t="n"/>
      <c r="G35" s="22" t="n"/>
      <c r="H35" s="24" t="n"/>
      <c r="I35" s="24" t="n"/>
      <c r="J35" s="24" t="n"/>
      <c r="K35" s="25">
        <f>IF($A35="","",IFERROR(VLOOKUP($C35&amp;"|"&amp;$D35,'Settings &amp; Lists'!$A$11:$D$110,4,FALSE),""))</f>
        <v/>
      </c>
      <c r="L35" s="50" t="n"/>
      <c r="M35" s="50" t="n"/>
      <c r="N35" s="50" t="n"/>
      <c r="O35" s="50" t="n"/>
      <c r="P35" s="27">
        <f>IF($A35="","",IF($L35="","Needs Time",IF($O35&lt;&gt;"","Departed",IF($M35&lt;&gt;"",IF(NOW()&gt;$N35,"At Dock - Late","At Dock"),IF(NOW()&gt;$L35+IFERROR('Settings &amp; Lists'!$B$7/24,0),"Late Arrival",IF(NOW()+TIME(2,0,0)&gt;=$L35,"Due Soon","Scheduled"))))))</f>
        <v/>
      </c>
      <c r="Q35" s="51">
        <f>IF($A35="","",IFERROR(IF($M35="","",MAX(0,24*((IF($O35="",NOW(),$O35)-$M35)))),""))</f>
        <v/>
      </c>
      <c r="R35" s="51">
        <f>IF($A35="","",IFERROR($K35/'Settings &amp; Lists'!$B$4,""))</f>
        <v/>
      </c>
      <c r="S35" s="52">
        <f>IF($A35="","",IFERROR($R35*'Settings &amp; Lists'!$B$5,""))</f>
        <v/>
      </c>
      <c r="T35" s="52">
        <f>IF($A35="","",IFERROR($K35*VLOOKUP($E35,'Settings &amp; Lists'!$F$11:$G$110,2,FALSE),""))</f>
        <v/>
      </c>
      <c r="U35" s="52">
        <f>IF($A35="","",IFERROR($S35+$T35,""))</f>
        <v/>
      </c>
      <c r="V35" s="24" t="n"/>
      <c r="W35" s="30" t="n"/>
      <c r="X35" s="31" t="n"/>
    </row>
    <row r="36">
      <c r="A36" s="22" t="n"/>
      <c r="B36" s="49" t="n"/>
      <c r="C36" s="22" t="n"/>
      <c r="D36" s="22" t="n"/>
      <c r="E36" s="22" t="n"/>
      <c r="F36" s="22" t="n"/>
      <c r="G36" s="22" t="n"/>
      <c r="H36" s="24" t="n"/>
      <c r="I36" s="24" t="n"/>
      <c r="J36" s="24" t="n"/>
      <c r="K36" s="25">
        <f>IF($A36="","",IFERROR(VLOOKUP($C36&amp;"|"&amp;$D36,'Settings &amp; Lists'!$A$11:$D$110,4,FALSE),""))</f>
        <v/>
      </c>
      <c r="L36" s="50" t="n"/>
      <c r="M36" s="50" t="n"/>
      <c r="N36" s="50" t="n"/>
      <c r="O36" s="50" t="n"/>
      <c r="P36" s="27">
        <f>IF($A36="","",IF($L36="","Needs Time",IF($O36&lt;&gt;"","Departed",IF($M36&lt;&gt;"",IF(NOW()&gt;$N36,"At Dock - Late","At Dock"),IF(NOW()&gt;$L36+IFERROR('Settings &amp; Lists'!$B$7/24,0),"Late Arrival",IF(NOW()+TIME(2,0,0)&gt;=$L36,"Due Soon","Scheduled"))))))</f>
        <v/>
      </c>
      <c r="Q36" s="51">
        <f>IF($A36="","",IFERROR(IF($M36="","",MAX(0,24*((IF($O36="",NOW(),$O36)-$M36)))),""))</f>
        <v/>
      </c>
      <c r="R36" s="51">
        <f>IF($A36="","",IFERROR($K36/'Settings &amp; Lists'!$B$4,""))</f>
        <v/>
      </c>
      <c r="S36" s="52">
        <f>IF($A36="","",IFERROR($R36*'Settings &amp; Lists'!$B$5,""))</f>
        <v/>
      </c>
      <c r="T36" s="52">
        <f>IF($A36="","",IFERROR($K36*VLOOKUP($E36,'Settings &amp; Lists'!$F$11:$G$110,2,FALSE),""))</f>
        <v/>
      </c>
      <c r="U36" s="52">
        <f>IF($A36="","",IFERROR($S36+$T36,""))</f>
        <v/>
      </c>
      <c r="V36" s="24" t="n"/>
      <c r="W36" s="30" t="n"/>
      <c r="X36" s="31" t="n"/>
    </row>
    <row r="37">
      <c r="A37" s="22" t="n"/>
      <c r="B37" s="49" t="n"/>
      <c r="C37" s="22" t="n"/>
      <c r="D37" s="22" t="n"/>
      <c r="E37" s="22" t="n"/>
      <c r="F37" s="22" t="n"/>
      <c r="G37" s="22" t="n"/>
      <c r="H37" s="24" t="n"/>
      <c r="I37" s="24" t="n"/>
      <c r="J37" s="24" t="n"/>
      <c r="K37" s="25">
        <f>IF($A37="","",IFERROR(VLOOKUP($C37&amp;"|"&amp;$D37,'Settings &amp; Lists'!$A$11:$D$110,4,FALSE),""))</f>
        <v/>
      </c>
      <c r="L37" s="50" t="n"/>
      <c r="M37" s="50" t="n"/>
      <c r="N37" s="50" t="n"/>
      <c r="O37" s="50" t="n"/>
      <c r="P37" s="27">
        <f>IF($A37="","",IF($L37="","Needs Time",IF($O37&lt;&gt;"","Departed",IF($M37&lt;&gt;"",IF(NOW()&gt;$N37,"At Dock - Late","At Dock"),IF(NOW()&gt;$L37+IFERROR('Settings &amp; Lists'!$B$7/24,0),"Late Arrival",IF(NOW()+TIME(2,0,0)&gt;=$L37,"Due Soon","Scheduled"))))))</f>
        <v/>
      </c>
      <c r="Q37" s="51">
        <f>IF($A37="","",IFERROR(IF($M37="","",MAX(0,24*((IF($O37="",NOW(),$O37)-$M37)))),""))</f>
        <v/>
      </c>
      <c r="R37" s="51">
        <f>IF($A37="","",IFERROR($K37/'Settings &amp; Lists'!$B$4,""))</f>
        <v/>
      </c>
      <c r="S37" s="52">
        <f>IF($A37="","",IFERROR($R37*'Settings &amp; Lists'!$B$5,""))</f>
        <v/>
      </c>
      <c r="T37" s="52">
        <f>IF($A37="","",IFERROR($K37*VLOOKUP($E37,'Settings &amp; Lists'!$F$11:$G$110,2,FALSE),""))</f>
        <v/>
      </c>
      <c r="U37" s="52">
        <f>IF($A37="","",IFERROR($S37+$T37,""))</f>
        <v/>
      </c>
      <c r="V37" s="24" t="n"/>
      <c r="W37" s="30" t="n"/>
      <c r="X37" s="31" t="n"/>
    </row>
    <row r="38">
      <c r="A38" s="22" t="n"/>
      <c r="B38" s="49" t="n"/>
      <c r="C38" s="22" t="n"/>
      <c r="D38" s="22" t="n"/>
      <c r="E38" s="22" t="n"/>
      <c r="F38" s="22" t="n"/>
      <c r="G38" s="22" t="n"/>
      <c r="H38" s="24" t="n"/>
      <c r="I38" s="24" t="n"/>
      <c r="J38" s="24" t="n"/>
      <c r="K38" s="25">
        <f>IF($A38="","",IFERROR(VLOOKUP($C38&amp;"|"&amp;$D38,'Settings &amp; Lists'!$A$11:$D$110,4,FALSE),""))</f>
        <v/>
      </c>
      <c r="L38" s="50" t="n"/>
      <c r="M38" s="50" t="n"/>
      <c r="N38" s="50" t="n"/>
      <c r="O38" s="50" t="n"/>
      <c r="P38" s="27">
        <f>IF($A38="","",IF($L38="","Needs Time",IF($O38&lt;&gt;"","Departed",IF($M38&lt;&gt;"",IF(NOW()&gt;$N38,"At Dock - Late","At Dock"),IF(NOW()&gt;$L38+IFERROR('Settings &amp; Lists'!$B$7/24,0),"Late Arrival",IF(NOW()+TIME(2,0,0)&gt;=$L38,"Due Soon","Scheduled"))))))</f>
        <v/>
      </c>
      <c r="Q38" s="51">
        <f>IF($A38="","",IFERROR(IF($M38="","",MAX(0,24*((IF($O38="",NOW(),$O38)-$M38)))),""))</f>
        <v/>
      </c>
      <c r="R38" s="51">
        <f>IF($A38="","",IFERROR($K38/'Settings &amp; Lists'!$B$4,""))</f>
        <v/>
      </c>
      <c r="S38" s="52">
        <f>IF($A38="","",IFERROR($R38*'Settings &amp; Lists'!$B$5,""))</f>
        <v/>
      </c>
      <c r="T38" s="52">
        <f>IF($A38="","",IFERROR($K38*VLOOKUP($E38,'Settings &amp; Lists'!$F$11:$G$110,2,FALSE),""))</f>
        <v/>
      </c>
      <c r="U38" s="52">
        <f>IF($A38="","",IFERROR($S38+$T38,""))</f>
        <v/>
      </c>
      <c r="V38" s="24" t="n"/>
      <c r="W38" s="30" t="n"/>
      <c r="X38" s="31" t="n"/>
    </row>
    <row r="39">
      <c r="A39" s="22" t="n"/>
      <c r="B39" s="49" t="n"/>
      <c r="C39" s="22" t="n"/>
      <c r="D39" s="22" t="n"/>
      <c r="E39" s="22" t="n"/>
      <c r="F39" s="22" t="n"/>
      <c r="G39" s="22" t="n"/>
      <c r="H39" s="24" t="n"/>
      <c r="I39" s="24" t="n"/>
      <c r="J39" s="24" t="n"/>
      <c r="K39" s="25">
        <f>IF($A39="","",IFERROR(VLOOKUP($C39&amp;"|"&amp;$D39,'Settings &amp; Lists'!$A$11:$D$110,4,FALSE),""))</f>
        <v/>
      </c>
      <c r="L39" s="50" t="n"/>
      <c r="M39" s="50" t="n"/>
      <c r="N39" s="50" t="n"/>
      <c r="O39" s="50" t="n"/>
      <c r="P39" s="27">
        <f>IF($A39="","",IF($L39="","Needs Time",IF($O39&lt;&gt;"","Departed",IF($M39&lt;&gt;"",IF(NOW()&gt;$N39,"At Dock - Late","At Dock"),IF(NOW()&gt;$L39+IFERROR('Settings &amp; Lists'!$B$7/24,0),"Late Arrival",IF(NOW()+TIME(2,0,0)&gt;=$L39,"Due Soon","Scheduled"))))))</f>
        <v/>
      </c>
      <c r="Q39" s="51">
        <f>IF($A39="","",IFERROR(IF($M39="","",MAX(0,24*((IF($O39="",NOW(),$O39)-$M39)))),""))</f>
        <v/>
      </c>
      <c r="R39" s="51">
        <f>IF($A39="","",IFERROR($K39/'Settings &amp; Lists'!$B$4,""))</f>
        <v/>
      </c>
      <c r="S39" s="52">
        <f>IF($A39="","",IFERROR($R39*'Settings &amp; Lists'!$B$5,""))</f>
        <v/>
      </c>
      <c r="T39" s="52">
        <f>IF($A39="","",IFERROR($K39*VLOOKUP($E39,'Settings &amp; Lists'!$F$11:$G$110,2,FALSE),""))</f>
        <v/>
      </c>
      <c r="U39" s="52">
        <f>IF($A39="","",IFERROR($S39+$T39,""))</f>
        <v/>
      </c>
      <c r="V39" s="24" t="n"/>
      <c r="W39" s="30" t="n"/>
      <c r="X39" s="31" t="n"/>
    </row>
    <row r="40">
      <c r="A40" s="22" t="n"/>
      <c r="B40" s="49" t="n"/>
      <c r="C40" s="22" t="n"/>
      <c r="D40" s="22" t="n"/>
      <c r="E40" s="22" t="n"/>
      <c r="F40" s="22" t="n"/>
      <c r="G40" s="22" t="n"/>
      <c r="H40" s="24" t="n"/>
      <c r="I40" s="24" t="n"/>
      <c r="J40" s="24" t="n"/>
      <c r="K40" s="25">
        <f>IF($A40="","",IFERROR(VLOOKUP($C40&amp;"|"&amp;$D40,'Settings &amp; Lists'!$A$11:$D$110,4,FALSE),""))</f>
        <v/>
      </c>
      <c r="L40" s="50" t="n"/>
      <c r="M40" s="50" t="n"/>
      <c r="N40" s="50" t="n"/>
      <c r="O40" s="50" t="n"/>
      <c r="P40" s="27">
        <f>IF($A40="","",IF($L40="","Needs Time",IF($O40&lt;&gt;"","Departed",IF($M40&lt;&gt;"",IF(NOW()&gt;$N40,"At Dock - Late","At Dock"),IF(NOW()&gt;$L40+IFERROR('Settings &amp; Lists'!$B$7/24,0),"Late Arrival",IF(NOW()+TIME(2,0,0)&gt;=$L40,"Due Soon","Scheduled"))))))</f>
        <v/>
      </c>
      <c r="Q40" s="51">
        <f>IF($A40="","",IFERROR(IF($M40="","",MAX(0,24*((IF($O40="",NOW(),$O40)-$M40)))),""))</f>
        <v/>
      </c>
      <c r="R40" s="51">
        <f>IF($A40="","",IFERROR($K40/'Settings &amp; Lists'!$B$4,""))</f>
        <v/>
      </c>
      <c r="S40" s="52">
        <f>IF($A40="","",IFERROR($R40*'Settings &amp; Lists'!$B$5,""))</f>
        <v/>
      </c>
      <c r="T40" s="52">
        <f>IF($A40="","",IFERROR($K40*VLOOKUP($E40,'Settings &amp; Lists'!$F$11:$G$110,2,FALSE),""))</f>
        <v/>
      </c>
      <c r="U40" s="52">
        <f>IF($A40="","",IFERROR($S40+$T40,""))</f>
        <v/>
      </c>
      <c r="V40" s="24" t="n"/>
      <c r="W40" s="30" t="n"/>
      <c r="X40" s="31" t="n"/>
    </row>
    <row r="41">
      <c r="A41" s="22" t="n"/>
      <c r="B41" s="49" t="n"/>
      <c r="C41" s="22" t="n"/>
      <c r="D41" s="22" t="n"/>
      <c r="E41" s="22" t="n"/>
      <c r="F41" s="22" t="n"/>
      <c r="G41" s="22" t="n"/>
      <c r="H41" s="24" t="n"/>
      <c r="I41" s="24" t="n"/>
      <c r="J41" s="24" t="n"/>
      <c r="K41" s="25">
        <f>IF($A41="","",IFERROR(VLOOKUP($C41&amp;"|"&amp;$D41,'Settings &amp; Lists'!$A$11:$D$110,4,FALSE),""))</f>
        <v/>
      </c>
      <c r="L41" s="50" t="n"/>
      <c r="M41" s="50" t="n"/>
      <c r="N41" s="50" t="n"/>
      <c r="O41" s="50" t="n"/>
      <c r="P41" s="27">
        <f>IF($A41="","",IF($L41="","Needs Time",IF($O41&lt;&gt;"","Departed",IF($M41&lt;&gt;"",IF(NOW()&gt;$N41,"At Dock - Late","At Dock"),IF(NOW()&gt;$L41+IFERROR('Settings &amp; Lists'!$B$7/24,0),"Late Arrival",IF(NOW()+TIME(2,0,0)&gt;=$L41,"Due Soon","Scheduled"))))))</f>
        <v/>
      </c>
      <c r="Q41" s="51">
        <f>IF($A41="","",IFERROR(IF($M41="","",MAX(0,24*((IF($O41="",NOW(),$O41)-$M41)))),""))</f>
        <v/>
      </c>
      <c r="R41" s="51">
        <f>IF($A41="","",IFERROR($K41/'Settings &amp; Lists'!$B$4,""))</f>
        <v/>
      </c>
      <c r="S41" s="52">
        <f>IF($A41="","",IFERROR($R41*'Settings &amp; Lists'!$B$5,""))</f>
        <v/>
      </c>
      <c r="T41" s="52">
        <f>IF($A41="","",IFERROR($K41*VLOOKUP($E41,'Settings &amp; Lists'!$F$11:$G$110,2,FALSE),""))</f>
        <v/>
      </c>
      <c r="U41" s="52">
        <f>IF($A41="","",IFERROR($S41+$T41,""))</f>
        <v/>
      </c>
      <c r="V41" s="24" t="n"/>
      <c r="W41" s="30" t="n"/>
      <c r="X41" s="31" t="n"/>
    </row>
    <row r="42">
      <c r="A42" s="22" t="n"/>
      <c r="B42" s="49" t="n"/>
      <c r="C42" s="22" t="n"/>
      <c r="D42" s="22" t="n"/>
      <c r="E42" s="22" t="n"/>
      <c r="F42" s="22" t="n"/>
      <c r="G42" s="22" t="n"/>
      <c r="H42" s="24" t="n"/>
      <c r="I42" s="24" t="n"/>
      <c r="J42" s="24" t="n"/>
      <c r="K42" s="25">
        <f>IF($A42="","",IFERROR(VLOOKUP($C42&amp;"|"&amp;$D42,'Settings &amp; Lists'!$A$11:$D$110,4,FALSE),""))</f>
        <v/>
      </c>
      <c r="L42" s="50" t="n"/>
      <c r="M42" s="50" t="n"/>
      <c r="N42" s="50" t="n"/>
      <c r="O42" s="50" t="n"/>
      <c r="P42" s="27">
        <f>IF($A42="","",IF($L42="","Needs Time",IF($O42&lt;&gt;"","Departed",IF($M42&lt;&gt;"",IF(NOW()&gt;$N42,"At Dock - Late","At Dock"),IF(NOW()&gt;$L42+IFERROR('Settings &amp; Lists'!$B$7/24,0),"Late Arrival",IF(NOW()+TIME(2,0,0)&gt;=$L42,"Due Soon","Scheduled"))))))</f>
        <v/>
      </c>
      <c r="Q42" s="51">
        <f>IF($A42="","",IFERROR(IF($M42="","",MAX(0,24*((IF($O42="",NOW(),$O42)-$M42)))),""))</f>
        <v/>
      </c>
      <c r="R42" s="51">
        <f>IF($A42="","",IFERROR($K42/'Settings &amp; Lists'!$B$4,""))</f>
        <v/>
      </c>
      <c r="S42" s="52">
        <f>IF($A42="","",IFERROR($R42*'Settings &amp; Lists'!$B$5,""))</f>
        <v/>
      </c>
      <c r="T42" s="52">
        <f>IF($A42="","",IFERROR($K42*VLOOKUP($E42,'Settings &amp; Lists'!$F$11:$G$110,2,FALSE),""))</f>
        <v/>
      </c>
      <c r="U42" s="52">
        <f>IF($A42="","",IFERROR($S42+$T42,""))</f>
        <v/>
      </c>
      <c r="V42" s="24" t="n"/>
      <c r="W42" s="30" t="n"/>
      <c r="X42" s="31" t="n"/>
    </row>
    <row r="43">
      <c r="A43" s="22" t="n"/>
      <c r="B43" s="49" t="n"/>
      <c r="C43" s="22" t="n"/>
      <c r="D43" s="22" t="n"/>
      <c r="E43" s="22" t="n"/>
      <c r="F43" s="22" t="n"/>
      <c r="G43" s="22" t="n"/>
      <c r="H43" s="24" t="n"/>
      <c r="I43" s="24" t="n"/>
      <c r="J43" s="24" t="n"/>
      <c r="K43" s="25">
        <f>IF($A43="","",IFERROR(VLOOKUP($C43&amp;"|"&amp;$D43,'Settings &amp; Lists'!$A$11:$D$110,4,FALSE),""))</f>
        <v/>
      </c>
      <c r="L43" s="50" t="n"/>
      <c r="M43" s="50" t="n"/>
      <c r="N43" s="50" t="n"/>
      <c r="O43" s="50" t="n"/>
      <c r="P43" s="27">
        <f>IF($A43="","",IF($L43="","Needs Time",IF($O43&lt;&gt;"","Departed",IF($M43&lt;&gt;"",IF(NOW()&gt;$N43,"At Dock - Late","At Dock"),IF(NOW()&gt;$L43+IFERROR('Settings &amp; Lists'!$B$7/24,0),"Late Arrival",IF(NOW()+TIME(2,0,0)&gt;=$L43,"Due Soon","Scheduled"))))))</f>
        <v/>
      </c>
      <c r="Q43" s="51">
        <f>IF($A43="","",IFERROR(IF($M43="","",MAX(0,24*((IF($O43="",NOW(),$O43)-$M43)))),""))</f>
        <v/>
      </c>
      <c r="R43" s="51">
        <f>IF($A43="","",IFERROR($K43/'Settings &amp; Lists'!$B$4,""))</f>
        <v/>
      </c>
      <c r="S43" s="52">
        <f>IF($A43="","",IFERROR($R43*'Settings &amp; Lists'!$B$5,""))</f>
        <v/>
      </c>
      <c r="T43" s="52">
        <f>IF($A43="","",IFERROR($K43*VLOOKUP($E43,'Settings &amp; Lists'!$F$11:$G$110,2,FALSE),""))</f>
        <v/>
      </c>
      <c r="U43" s="52">
        <f>IF($A43="","",IFERROR($S43+$T43,""))</f>
        <v/>
      </c>
      <c r="V43" s="24" t="n"/>
      <c r="W43" s="30" t="n"/>
      <c r="X43" s="31" t="n"/>
    </row>
    <row r="44">
      <c r="A44" s="22" t="n"/>
      <c r="B44" s="49" t="n"/>
      <c r="C44" s="22" t="n"/>
      <c r="D44" s="22" t="n"/>
      <c r="E44" s="22" t="n"/>
      <c r="F44" s="22" t="n"/>
      <c r="G44" s="22" t="n"/>
      <c r="H44" s="24" t="n"/>
      <c r="I44" s="24" t="n"/>
      <c r="J44" s="24" t="n"/>
      <c r="K44" s="25">
        <f>IF($A44="","",IFERROR(VLOOKUP($C44&amp;"|"&amp;$D44,'Settings &amp; Lists'!$A$11:$D$110,4,FALSE),""))</f>
        <v/>
      </c>
      <c r="L44" s="50" t="n"/>
      <c r="M44" s="50" t="n"/>
      <c r="N44" s="50" t="n"/>
      <c r="O44" s="50" t="n"/>
      <c r="P44" s="27">
        <f>IF($A44="","",IF($L44="","Needs Time",IF($O44&lt;&gt;"","Departed",IF($M44&lt;&gt;"",IF(NOW()&gt;$N44,"At Dock - Late","At Dock"),IF(NOW()&gt;$L44+IFERROR('Settings &amp; Lists'!$B$7/24,0),"Late Arrival",IF(NOW()+TIME(2,0,0)&gt;=$L44,"Due Soon","Scheduled"))))))</f>
        <v/>
      </c>
      <c r="Q44" s="51">
        <f>IF($A44="","",IFERROR(IF($M44="","",MAX(0,24*((IF($O44="",NOW(),$O44)-$M44)))),""))</f>
        <v/>
      </c>
      <c r="R44" s="51">
        <f>IF($A44="","",IFERROR($K44/'Settings &amp; Lists'!$B$4,""))</f>
        <v/>
      </c>
      <c r="S44" s="52">
        <f>IF($A44="","",IFERROR($R44*'Settings &amp; Lists'!$B$5,""))</f>
        <v/>
      </c>
      <c r="T44" s="52">
        <f>IF($A44="","",IFERROR($K44*VLOOKUP($E44,'Settings &amp; Lists'!$F$11:$G$110,2,FALSE),""))</f>
        <v/>
      </c>
      <c r="U44" s="52">
        <f>IF($A44="","",IFERROR($S44+$T44,""))</f>
        <v/>
      </c>
      <c r="V44" s="24" t="n"/>
      <c r="W44" s="30" t="n"/>
      <c r="X44" s="31" t="n"/>
    </row>
    <row r="45">
      <c r="A45" s="22" t="n"/>
      <c r="B45" s="49" t="n"/>
      <c r="C45" s="22" t="n"/>
      <c r="D45" s="22" t="n"/>
      <c r="E45" s="22" t="n"/>
      <c r="F45" s="22" t="n"/>
      <c r="G45" s="22" t="n"/>
      <c r="H45" s="24" t="n"/>
      <c r="I45" s="24" t="n"/>
      <c r="J45" s="24" t="n"/>
      <c r="K45" s="25">
        <f>IF($A45="","",IFERROR(VLOOKUP($C45&amp;"|"&amp;$D45,'Settings &amp; Lists'!$A$11:$D$110,4,FALSE),""))</f>
        <v/>
      </c>
      <c r="L45" s="50" t="n"/>
      <c r="M45" s="50" t="n"/>
      <c r="N45" s="50" t="n"/>
      <c r="O45" s="50" t="n"/>
      <c r="P45" s="27">
        <f>IF($A45="","",IF($L45="","Needs Time",IF($O45&lt;&gt;"","Departed",IF($M45&lt;&gt;"",IF(NOW()&gt;$N45,"At Dock - Late","At Dock"),IF(NOW()&gt;$L45+IFERROR('Settings &amp; Lists'!$B$7/24,0),"Late Arrival",IF(NOW()+TIME(2,0,0)&gt;=$L45,"Due Soon","Scheduled"))))))</f>
        <v/>
      </c>
      <c r="Q45" s="51">
        <f>IF($A45="","",IFERROR(IF($M45="","",MAX(0,24*((IF($O45="",NOW(),$O45)-$M45)))),""))</f>
        <v/>
      </c>
      <c r="R45" s="51">
        <f>IF($A45="","",IFERROR($K45/'Settings &amp; Lists'!$B$4,""))</f>
        <v/>
      </c>
      <c r="S45" s="52">
        <f>IF($A45="","",IFERROR($R45*'Settings &amp; Lists'!$B$5,""))</f>
        <v/>
      </c>
      <c r="T45" s="52">
        <f>IF($A45="","",IFERROR($K45*VLOOKUP($E45,'Settings &amp; Lists'!$F$11:$G$110,2,FALSE),""))</f>
        <v/>
      </c>
      <c r="U45" s="52">
        <f>IF($A45="","",IFERROR($S45+$T45,""))</f>
        <v/>
      </c>
      <c r="V45" s="24" t="n"/>
      <c r="W45" s="30" t="n"/>
      <c r="X45" s="31" t="n"/>
    </row>
    <row r="46">
      <c r="A46" s="22" t="n"/>
      <c r="B46" s="49" t="n"/>
      <c r="C46" s="22" t="n"/>
      <c r="D46" s="22" t="n"/>
      <c r="E46" s="22" t="n"/>
      <c r="F46" s="22" t="n"/>
      <c r="G46" s="22" t="n"/>
      <c r="H46" s="24" t="n"/>
      <c r="I46" s="24" t="n"/>
      <c r="J46" s="24" t="n"/>
      <c r="K46" s="25">
        <f>IF($A46="","",IFERROR(VLOOKUP($C46&amp;"|"&amp;$D46,'Settings &amp; Lists'!$A$11:$D$110,4,FALSE),""))</f>
        <v/>
      </c>
      <c r="L46" s="50" t="n"/>
      <c r="M46" s="50" t="n"/>
      <c r="N46" s="50" t="n"/>
      <c r="O46" s="50" t="n"/>
      <c r="P46" s="27">
        <f>IF($A46="","",IF($L46="","Needs Time",IF($O46&lt;&gt;"","Departed",IF($M46&lt;&gt;"",IF(NOW()&gt;$N46,"At Dock - Late","At Dock"),IF(NOW()&gt;$L46+IFERROR('Settings &amp; Lists'!$B$7/24,0),"Late Arrival",IF(NOW()+TIME(2,0,0)&gt;=$L46,"Due Soon","Scheduled"))))))</f>
        <v/>
      </c>
      <c r="Q46" s="51">
        <f>IF($A46="","",IFERROR(IF($M46="","",MAX(0,24*((IF($O46="",NOW(),$O46)-$M46)))),""))</f>
        <v/>
      </c>
      <c r="R46" s="51">
        <f>IF($A46="","",IFERROR($K46/'Settings &amp; Lists'!$B$4,""))</f>
        <v/>
      </c>
      <c r="S46" s="52">
        <f>IF($A46="","",IFERROR($R46*'Settings &amp; Lists'!$B$5,""))</f>
        <v/>
      </c>
      <c r="T46" s="52">
        <f>IF($A46="","",IFERROR($K46*VLOOKUP($E46,'Settings &amp; Lists'!$F$11:$G$110,2,FALSE),""))</f>
        <v/>
      </c>
      <c r="U46" s="52">
        <f>IF($A46="","",IFERROR($S46+$T46,""))</f>
        <v/>
      </c>
      <c r="V46" s="24" t="n"/>
      <c r="W46" s="30" t="n"/>
      <c r="X46" s="31" t="n"/>
    </row>
    <row r="47">
      <c r="A47" s="22" t="n"/>
      <c r="B47" s="49" t="n"/>
      <c r="C47" s="22" t="n"/>
      <c r="D47" s="22" t="n"/>
      <c r="E47" s="22" t="n"/>
      <c r="F47" s="22" t="n"/>
      <c r="G47" s="22" t="n"/>
      <c r="H47" s="24" t="n"/>
      <c r="I47" s="24" t="n"/>
      <c r="J47" s="24" t="n"/>
      <c r="K47" s="25">
        <f>IF($A47="","",IFERROR(VLOOKUP($C47&amp;"|"&amp;$D47,'Settings &amp; Lists'!$A$11:$D$110,4,FALSE),""))</f>
        <v/>
      </c>
      <c r="L47" s="50" t="n"/>
      <c r="M47" s="50" t="n"/>
      <c r="N47" s="50" t="n"/>
      <c r="O47" s="50" t="n"/>
      <c r="P47" s="27">
        <f>IF($A47="","",IF($L47="","Needs Time",IF($O47&lt;&gt;"","Departed",IF($M47&lt;&gt;"",IF(NOW()&gt;$N47,"At Dock - Late","At Dock"),IF(NOW()&gt;$L47+IFERROR('Settings &amp; Lists'!$B$7/24,0),"Late Arrival",IF(NOW()+TIME(2,0,0)&gt;=$L47,"Due Soon","Scheduled"))))))</f>
        <v/>
      </c>
      <c r="Q47" s="51">
        <f>IF($A47="","",IFERROR(IF($M47="","",MAX(0,24*((IF($O47="",NOW(),$O47)-$M47)))),""))</f>
        <v/>
      </c>
      <c r="R47" s="51">
        <f>IF($A47="","",IFERROR($K47/'Settings &amp; Lists'!$B$4,""))</f>
        <v/>
      </c>
      <c r="S47" s="52">
        <f>IF($A47="","",IFERROR($R47*'Settings &amp; Lists'!$B$5,""))</f>
        <v/>
      </c>
      <c r="T47" s="52">
        <f>IF($A47="","",IFERROR($K47*VLOOKUP($E47,'Settings &amp; Lists'!$F$11:$G$110,2,FALSE),""))</f>
        <v/>
      </c>
      <c r="U47" s="52">
        <f>IF($A47="","",IFERROR($S47+$T47,""))</f>
        <v/>
      </c>
      <c r="V47" s="24" t="n"/>
      <c r="W47" s="30" t="n"/>
      <c r="X47" s="31" t="n"/>
    </row>
    <row r="48">
      <c r="A48" s="22" t="n"/>
      <c r="B48" s="49" t="n"/>
      <c r="C48" s="22" t="n"/>
      <c r="D48" s="22" t="n"/>
      <c r="E48" s="22" t="n"/>
      <c r="F48" s="22" t="n"/>
      <c r="G48" s="22" t="n"/>
      <c r="H48" s="24" t="n"/>
      <c r="I48" s="24" t="n"/>
      <c r="J48" s="24" t="n"/>
      <c r="K48" s="25">
        <f>IF($A48="","",IFERROR(VLOOKUP($C48&amp;"|"&amp;$D48,'Settings &amp; Lists'!$A$11:$D$110,4,FALSE),""))</f>
        <v/>
      </c>
      <c r="L48" s="50" t="n"/>
      <c r="M48" s="50" t="n"/>
      <c r="N48" s="50" t="n"/>
      <c r="O48" s="50" t="n"/>
      <c r="P48" s="27">
        <f>IF($A48="","",IF($L48="","Needs Time",IF($O48&lt;&gt;"","Departed",IF($M48&lt;&gt;"",IF(NOW()&gt;$N48,"At Dock - Late","At Dock"),IF(NOW()&gt;$L48+IFERROR('Settings &amp; Lists'!$B$7/24,0),"Late Arrival",IF(NOW()+TIME(2,0,0)&gt;=$L48,"Due Soon","Scheduled"))))))</f>
        <v/>
      </c>
      <c r="Q48" s="51">
        <f>IF($A48="","",IFERROR(IF($M48="","",MAX(0,24*((IF($O48="",NOW(),$O48)-$M48)))),""))</f>
        <v/>
      </c>
      <c r="R48" s="51">
        <f>IF($A48="","",IFERROR($K48/'Settings &amp; Lists'!$B$4,""))</f>
        <v/>
      </c>
      <c r="S48" s="52">
        <f>IF($A48="","",IFERROR($R48*'Settings &amp; Lists'!$B$5,""))</f>
        <v/>
      </c>
      <c r="T48" s="52">
        <f>IF($A48="","",IFERROR($K48*VLOOKUP($E48,'Settings &amp; Lists'!$F$11:$G$110,2,FALSE),""))</f>
        <v/>
      </c>
      <c r="U48" s="52">
        <f>IF($A48="","",IFERROR($S48+$T48,""))</f>
        <v/>
      </c>
      <c r="V48" s="24" t="n"/>
      <c r="W48" s="30" t="n"/>
      <c r="X48" s="31" t="n"/>
    </row>
    <row r="49">
      <c r="A49" s="22" t="n"/>
      <c r="B49" s="49" t="n"/>
      <c r="C49" s="22" t="n"/>
      <c r="D49" s="22" t="n"/>
      <c r="E49" s="22" t="n"/>
      <c r="F49" s="22" t="n"/>
      <c r="G49" s="22" t="n"/>
      <c r="H49" s="24" t="n"/>
      <c r="I49" s="24" t="n"/>
      <c r="J49" s="24" t="n"/>
      <c r="K49" s="25">
        <f>IF($A49="","",IFERROR(VLOOKUP($C49&amp;"|"&amp;$D49,'Settings &amp; Lists'!$A$11:$D$110,4,FALSE),""))</f>
        <v/>
      </c>
      <c r="L49" s="50" t="n"/>
      <c r="M49" s="50" t="n"/>
      <c r="N49" s="50" t="n"/>
      <c r="O49" s="50" t="n"/>
      <c r="P49" s="27">
        <f>IF($A49="","",IF($L49="","Needs Time",IF($O49&lt;&gt;"","Departed",IF($M49&lt;&gt;"",IF(NOW()&gt;$N49,"At Dock - Late","At Dock"),IF(NOW()&gt;$L49+IFERROR('Settings &amp; Lists'!$B$7/24,0),"Late Arrival",IF(NOW()+TIME(2,0,0)&gt;=$L49,"Due Soon","Scheduled"))))))</f>
        <v/>
      </c>
      <c r="Q49" s="51">
        <f>IF($A49="","",IFERROR(IF($M49="","",MAX(0,24*((IF($O49="",NOW(),$O49)-$M49)))),""))</f>
        <v/>
      </c>
      <c r="R49" s="51">
        <f>IF($A49="","",IFERROR($K49/'Settings &amp; Lists'!$B$4,""))</f>
        <v/>
      </c>
      <c r="S49" s="52">
        <f>IF($A49="","",IFERROR($R49*'Settings &amp; Lists'!$B$5,""))</f>
        <v/>
      </c>
      <c r="T49" s="52">
        <f>IF($A49="","",IFERROR($K49*VLOOKUP($E49,'Settings &amp; Lists'!$F$11:$G$110,2,FALSE),""))</f>
        <v/>
      </c>
      <c r="U49" s="52">
        <f>IF($A49="","",IFERROR($S49+$T49,""))</f>
        <v/>
      </c>
      <c r="V49" s="24" t="n"/>
      <c r="W49" s="30" t="n"/>
      <c r="X49" s="31" t="n"/>
    </row>
    <row r="50">
      <c r="A50" s="22" t="n"/>
      <c r="B50" s="49" t="n"/>
      <c r="C50" s="22" t="n"/>
      <c r="D50" s="22" t="n"/>
      <c r="E50" s="22" t="n"/>
      <c r="F50" s="22" t="n"/>
      <c r="G50" s="22" t="n"/>
      <c r="H50" s="24" t="n"/>
      <c r="I50" s="24" t="n"/>
      <c r="J50" s="24" t="n"/>
      <c r="K50" s="25">
        <f>IF($A50="","",IFERROR(VLOOKUP($C50&amp;"|"&amp;$D50,'Settings &amp; Lists'!$A$11:$D$110,4,FALSE),""))</f>
        <v/>
      </c>
      <c r="L50" s="50" t="n"/>
      <c r="M50" s="50" t="n"/>
      <c r="N50" s="50" t="n"/>
      <c r="O50" s="50" t="n"/>
      <c r="P50" s="27">
        <f>IF($A50="","",IF($L50="","Needs Time",IF($O50&lt;&gt;"","Departed",IF($M50&lt;&gt;"",IF(NOW()&gt;$N50,"At Dock - Late","At Dock"),IF(NOW()&gt;$L50+IFERROR('Settings &amp; Lists'!$B$7/24,0),"Late Arrival",IF(NOW()+TIME(2,0,0)&gt;=$L50,"Due Soon","Scheduled"))))))</f>
        <v/>
      </c>
      <c r="Q50" s="51">
        <f>IF($A50="","",IFERROR(IF($M50="","",MAX(0,24*((IF($O50="",NOW(),$O50)-$M50)))),""))</f>
        <v/>
      </c>
      <c r="R50" s="51">
        <f>IF($A50="","",IFERROR($K50/'Settings &amp; Lists'!$B$4,""))</f>
        <v/>
      </c>
      <c r="S50" s="52">
        <f>IF($A50="","",IFERROR($R50*'Settings &amp; Lists'!$B$5,""))</f>
        <v/>
      </c>
      <c r="T50" s="52">
        <f>IF($A50="","",IFERROR($K50*VLOOKUP($E50,'Settings &amp; Lists'!$F$11:$G$110,2,FALSE),""))</f>
        <v/>
      </c>
      <c r="U50" s="52">
        <f>IF($A50="","",IFERROR($S50+$T50,""))</f>
        <v/>
      </c>
      <c r="V50" s="24" t="n"/>
      <c r="W50" s="30" t="n"/>
      <c r="X50" s="31" t="n"/>
    </row>
    <row r="51">
      <c r="A51" s="22" t="n"/>
      <c r="B51" s="49" t="n"/>
      <c r="C51" s="22" t="n"/>
      <c r="D51" s="22" t="n"/>
      <c r="E51" s="22" t="n"/>
      <c r="F51" s="22" t="n"/>
      <c r="G51" s="22" t="n"/>
      <c r="H51" s="24" t="n"/>
      <c r="I51" s="24" t="n"/>
      <c r="J51" s="24" t="n"/>
      <c r="K51" s="25">
        <f>IF($A51="","",IFERROR(VLOOKUP($C51&amp;"|"&amp;$D51,'Settings &amp; Lists'!$A$11:$D$110,4,FALSE),""))</f>
        <v/>
      </c>
      <c r="L51" s="50" t="n"/>
      <c r="M51" s="50" t="n"/>
      <c r="N51" s="50" t="n"/>
      <c r="O51" s="50" t="n"/>
      <c r="P51" s="27">
        <f>IF($A51="","",IF($L51="","Needs Time",IF($O51&lt;&gt;"","Departed",IF($M51&lt;&gt;"",IF(NOW()&gt;$N51,"At Dock - Late","At Dock"),IF(NOW()&gt;$L51+IFERROR('Settings &amp; Lists'!$B$7/24,0),"Late Arrival",IF(NOW()+TIME(2,0,0)&gt;=$L51,"Due Soon","Scheduled"))))))</f>
        <v/>
      </c>
      <c r="Q51" s="51">
        <f>IF($A51="","",IFERROR(IF($M51="","",MAX(0,24*((IF($O51="",NOW(),$O51)-$M51)))),""))</f>
        <v/>
      </c>
      <c r="R51" s="51">
        <f>IF($A51="","",IFERROR($K51/'Settings &amp; Lists'!$B$4,""))</f>
        <v/>
      </c>
      <c r="S51" s="52">
        <f>IF($A51="","",IFERROR($R51*'Settings &amp; Lists'!$B$5,""))</f>
        <v/>
      </c>
      <c r="T51" s="52">
        <f>IF($A51="","",IFERROR($K51*VLOOKUP($E51,'Settings &amp; Lists'!$F$11:$G$110,2,FALSE),""))</f>
        <v/>
      </c>
      <c r="U51" s="52">
        <f>IF($A51="","",IFERROR($S51+$T51,""))</f>
        <v/>
      </c>
      <c r="V51" s="24" t="n"/>
      <c r="W51" s="30" t="n"/>
      <c r="X51" s="31" t="n"/>
    </row>
    <row r="52">
      <c r="A52" s="22" t="n"/>
      <c r="B52" s="49" t="n"/>
      <c r="C52" s="22" t="n"/>
      <c r="D52" s="22" t="n"/>
      <c r="E52" s="22" t="n"/>
      <c r="F52" s="22" t="n"/>
      <c r="G52" s="22" t="n"/>
      <c r="H52" s="24" t="n"/>
      <c r="I52" s="24" t="n"/>
      <c r="J52" s="24" t="n"/>
      <c r="K52" s="25">
        <f>IF($A52="","",IFERROR(VLOOKUP($C52&amp;"|"&amp;$D52,'Settings &amp; Lists'!$A$11:$D$110,4,FALSE),""))</f>
        <v/>
      </c>
      <c r="L52" s="50" t="n"/>
      <c r="M52" s="50" t="n"/>
      <c r="N52" s="50" t="n"/>
      <c r="O52" s="50" t="n"/>
      <c r="P52" s="27">
        <f>IF($A52="","",IF($L52="","Needs Time",IF($O52&lt;&gt;"","Departed",IF($M52&lt;&gt;"",IF(NOW()&gt;$N52,"At Dock - Late","At Dock"),IF(NOW()&gt;$L52+IFERROR('Settings &amp; Lists'!$B$7/24,0),"Late Arrival",IF(NOW()+TIME(2,0,0)&gt;=$L52,"Due Soon","Scheduled"))))))</f>
        <v/>
      </c>
      <c r="Q52" s="51">
        <f>IF($A52="","",IFERROR(IF($M52="","",MAX(0,24*((IF($O52="",NOW(),$O52)-$M52)))),""))</f>
        <v/>
      </c>
      <c r="R52" s="51">
        <f>IF($A52="","",IFERROR($K52/'Settings &amp; Lists'!$B$4,""))</f>
        <v/>
      </c>
      <c r="S52" s="52">
        <f>IF($A52="","",IFERROR($R52*'Settings &amp; Lists'!$B$5,""))</f>
        <v/>
      </c>
      <c r="T52" s="52">
        <f>IF($A52="","",IFERROR($K52*VLOOKUP($E52,'Settings &amp; Lists'!$F$11:$G$110,2,FALSE),""))</f>
        <v/>
      </c>
      <c r="U52" s="52">
        <f>IF($A52="","",IFERROR($S52+$T52,""))</f>
        <v/>
      </c>
      <c r="V52" s="24" t="n"/>
      <c r="W52" s="30" t="n"/>
      <c r="X52" s="31" t="n"/>
    </row>
    <row r="53">
      <c r="A53" s="22" t="n"/>
      <c r="B53" s="49" t="n"/>
      <c r="C53" s="22" t="n"/>
      <c r="D53" s="22" t="n"/>
      <c r="E53" s="22" t="n"/>
      <c r="F53" s="22" t="n"/>
      <c r="G53" s="22" t="n"/>
      <c r="H53" s="24" t="n"/>
      <c r="I53" s="24" t="n"/>
      <c r="J53" s="24" t="n"/>
      <c r="K53" s="25">
        <f>IF($A53="","",IFERROR(VLOOKUP($C53&amp;"|"&amp;$D53,'Settings &amp; Lists'!$A$11:$D$110,4,FALSE),""))</f>
        <v/>
      </c>
      <c r="L53" s="50" t="n"/>
      <c r="M53" s="50" t="n"/>
      <c r="N53" s="50" t="n"/>
      <c r="O53" s="50" t="n"/>
      <c r="P53" s="27">
        <f>IF($A53="","",IF($L53="","Needs Time",IF($O53&lt;&gt;"","Departed",IF($M53&lt;&gt;"",IF(NOW()&gt;$N53,"At Dock - Late","At Dock"),IF(NOW()&gt;$L53+IFERROR('Settings &amp; Lists'!$B$7/24,0),"Late Arrival",IF(NOW()+TIME(2,0,0)&gt;=$L53,"Due Soon","Scheduled"))))))</f>
        <v/>
      </c>
      <c r="Q53" s="51">
        <f>IF($A53="","",IFERROR(IF($M53="","",MAX(0,24*((IF($O53="",NOW(),$O53)-$M53)))),""))</f>
        <v/>
      </c>
      <c r="R53" s="51">
        <f>IF($A53="","",IFERROR($K53/'Settings &amp; Lists'!$B$4,""))</f>
        <v/>
      </c>
      <c r="S53" s="52">
        <f>IF($A53="","",IFERROR($R53*'Settings &amp; Lists'!$B$5,""))</f>
        <v/>
      </c>
      <c r="T53" s="52">
        <f>IF($A53="","",IFERROR($K53*VLOOKUP($E53,'Settings &amp; Lists'!$F$11:$G$110,2,FALSE),""))</f>
        <v/>
      </c>
      <c r="U53" s="52">
        <f>IF($A53="","",IFERROR($S53+$T53,""))</f>
        <v/>
      </c>
      <c r="V53" s="24" t="n"/>
      <c r="W53" s="30" t="n"/>
      <c r="X53" s="31" t="n"/>
    </row>
    <row r="54">
      <c r="A54" s="22" t="n"/>
      <c r="B54" s="49" t="n"/>
      <c r="C54" s="22" t="n"/>
      <c r="D54" s="22" t="n"/>
      <c r="E54" s="22" t="n"/>
      <c r="F54" s="22" t="n"/>
      <c r="G54" s="22" t="n"/>
      <c r="H54" s="24" t="n"/>
      <c r="I54" s="24" t="n"/>
      <c r="J54" s="24" t="n"/>
      <c r="K54" s="25">
        <f>IF($A54="","",IFERROR(VLOOKUP($C54&amp;"|"&amp;$D54,'Settings &amp; Lists'!$A$11:$D$110,4,FALSE),""))</f>
        <v/>
      </c>
      <c r="L54" s="50" t="n"/>
      <c r="M54" s="50" t="n"/>
      <c r="N54" s="50" t="n"/>
      <c r="O54" s="50" t="n"/>
      <c r="P54" s="27">
        <f>IF($A54="","",IF($L54="","Needs Time",IF($O54&lt;&gt;"","Departed",IF($M54&lt;&gt;"",IF(NOW()&gt;$N54,"At Dock - Late","At Dock"),IF(NOW()&gt;$L54+IFERROR('Settings &amp; Lists'!$B$7/24,0),"Late Arrival",IF(NOW()+TIME(2,0,0)&gt;=$L54,"Due Soon","Scheduled"))))))</f>
        <v/>
      </c>
      <c r="Q54" s="51">
        <f>IF($A54="","",IFERROR(IF($M54="","",MAX(0,24*((IF($O54="",NOW(),$O54)-$M54)))),""))</f>
        <v/>
      </c>
      <c r="R54" s="51">
        <f>IF($A54="","",IFERROR($K54/'Settings &amp; Lists'!$B$4,""))</f>
        <v/>
      </c>
      <c r="S54" s="52">
        <f>IF($A54="","",IFERROR($R54*'Settings &amp; Lists'!$B$5,""))</f>
        <v/>
      </c>
      <c r="T54" s="52">
        <f>IF($A54="","",IFERROR($K54*VLOOKUP($E54,'Settings &amp; Lists'!$F$11:$G$110,2,FALSE),""))</f>
        <v/>
      </c>
      <c r="U54" s="52">
        <f>IF($A54="","",IFERROR($S54+$T54,""))</f>
        <v/>
      </c>
      <c r="V54" s="24" t="n"/>
      <c r="W54" s="30" t="n"/>
      <c r="X54" s="31" t="n"/>
    </row>
    <row r="55">
      <c r="A55" s="22" t="n"/>
      <c r="B55" s="49" t="n"/>
      <c r="C55" s="22" t="n"/>
      <c r="D55" s="22" t="n"/>
      <c r="E55" s="22" t="n"/>
      <c r="F55" s="22" t="n"/>
      <c r="G55" s="22" t="n"/>
      <c r="H55" s="24" t="n"/>
      <c r="I55" s="24" t="n"/>
      <c r="J55" s="24" t="n"/>
      <c r="K55" s="25">
        <f>IF($A55="","",IFERROR(VLOOKUP($C55&amp;"|"&amp;$D55,'Settings &amp; Lists'!$A$11:$D$110,4,FALSE),""))</f>
        <v/>
      </c>
      <c r="L55" s="50" t="n"/>
      <c r="M55" s="50" t="n"/>
      <c r="N55" s="50" t="n"/>
      <c r="O55" s="50" t="n"/>
      <c r="P55" s="27">
        <f>IF($A55="","",IF($L55="","Needs Time",IF($O55&lt;&gt;"","Departed",IF($M55&lt;&gt;"",IF(NOW()&gt;$N55,"At Dock - Late","At Dock"),IF(NOW()&gt;$L55+IFERROR('Settings &amp; Lists'!$B$7/24,0),"Late Arrival",IF(NOW()+TIME(2,0,0)&gt;=$L55,"Due Soon","Scheduled"))))))</f>
        <v/>
      </c>
      <c r="Q55" s="51">
        <f>IF($A55="","",IFERROR(IF($M55="","",MAX(0,24*((IF($O55="",NOW(),$O55)-$M55)))),""))</f>
        <v/>
      </c>
      <c r="R55" s="51">
        <f>IF($A55="","",IFERROR($K55/'Settings &amp; Lists'!$B$4,""))</f>
        <v/>
      </c>
      <c r="S55" s="52">
        <f>IF($A55="","",IFERROR($R55*'Settings &amp; Lists'!$B$5,""))</f>
        <v/>
      </c>
      <c r="T55" s="52">
        <f>IF($A55="","",IFERROR($K55*VLOOKUP($E55,'Settings &amp; Lists'!$F$11:$G$110,2,FALSE),""))</f>
        <v/>
      </c>
      <c r="U55" s="52">
        <f>IF($A55="","",IFERROR($S55+$T55,""))</f>
        <v/>
      </c>
      <c r="V55" s="24" t="n"/>
      <c r="W55" s="30" t="n"/>
      <c r="X55" s="31" t="n"/>
    </row>
    <row r="56">
      <c r="A56" s="22" t="n"/>
      <c r="B56" s="49" t="n"/>
      <c r="C56" s="22" t="n"/>
      <c r="D56" s="22" t="n"/>
      <c r="E56" s="22" t="n"/>
      <c r="F56" s="22" t="n"/>
      <c r="G56" s="22" t="n"/>
      <c r="H56" s="24" t="n"/>
      <c r="I56" s="24" t="n"/>
      <c r="J56" s="24" t="n"/>
      <c r="K56" s="25">
        <f>IF($A56="","",IFERROR(VLOOKUP($C56&amp;"|"&amp;$D56,'Settings &amp; Lists'!$A$11:$D$110,4,FALSE),""))</f>
        <v/>
      </c>
      <c r="L56" s="50" t="n"/>
      <c r="M56" s="50" t="n"/>
      <c r="N56" s="50" t="n"/>
      <c r="O56" s="50" t="n"/>
      <c r="P56" s="27">
        <f>IF($A56="","",IF($L56="","Needs Time",IF($O56&lt;&gt;"","Departed",IF($M56&lt;&gt;"",IF(NOW()&gt;$N56,"At Dock - Late","At Dock"),IF(NOW()&gt;$L56+IFERROR('Settings &amp; Lists'!$B$7/24,0),"Late Arrival",IF(NOW()+TIME(2,0,0)&gt;=$L56,"Due Soon","Scheduled"))))))</f>
        <v/>
      </c>
      <c r="Q56" s="51">
        <f>IF($A56="","",IFERROR(IF($M56="","",MAX(0,24*((IF($O56="",NOW(),$O56)-$M56)))),""))</f>
        <v/>
      </c>
      <c r="R56" s="51">
        <f>IF($A56="","",IFERROR($K56/'Settings &amp; Lists'!$B$4,""))</f>
        <v/>
      </c>
      <c r="S56" s="52">
        <f>IF($A56="","",IFERROR($R56*'Settings &amp; Lists'!$B$5,""))</f>
        <v/>
      </c>
      <c r="T56" s="52">
        <f>IF($A56="","",IFERROR($K56*VLOOKUP($E56,'Settings &amp; Lists'!$F$11:$G$110,2,FALSE),""))</f>
        <v/>
      </c>
      <c r="U56" s="52">
        <f>IF($A56="","",IFERROR($S56+$T56,""))</f>
        <v/>
      </c>
      <c r="V56" s="24" t="n"/>
      <c r="W56" s="30" t="n"/>
      <c r="X56" s="31" t="n"/>
    </row>
    <row r="57">
      <c r="A57" s="22" t="n"/>
      <c r="B57" s="49" t="n"/>
      <c r="C57" s="22" t="n"/>
      <c r="D57" s="22" t="n"/>
      <c r="E57" s="22" t="n"/>
      <c r="F57" s="22" t="n"/>
      <c r="G57" s="22" t="n"/>
      <c r="H57" s="24" t="n"/>
      <c r="I57" s="24" t="n"/>
      <c r="J57" s="24" t="n"/>
      <c r="K57" s="25">
        <f>IF($A57="","",IFERROR(VLOOKUP($C57&amp;"|"&amp;$D57,'Settings &amp; Lists'!$A$11:$D$110,4,FALSE),""))</f>
        <v/>
      </c>
      <c r="L57" s="50" t="n"/>
      <c r="M57" s="50" t="n"/>
      <c r="N57" s="50" t="n"/>
      <c r="O57" s="50" t="n"/>
      <c r="P57" s="27">
        <f>IF($A57="","",IF($L57="","Needs Time",IF($O57&lt;&gt;"","Departed",IF($M57&lt;&gt;"",IF(NOW()&gt;$N57,"At Dock - Late","At Dock"),IF(NOW()&gt;$L57+IFERROR('Settings &amp; Lists'!$B$7/24,0),"Late Arrival",IF(NOW()+TIME(2,0,0)&gt;=$L57,"Due Soon","Scheduled"))))))</f>
        <v/>
      </c>
      <c r="Q57" s="51">
        <f>IF($A57="","",IFERROR(IF($M57="","",MAX(0,24*((IF($O57="",NOW(),$O57)-$M57)))),""))</f>
        <v/>
      </c>
      <c r="R57" s="51">
        <f>IF($A57="","",IFERROR($K57/'Settings &amp; Lists'!$B$4,""))</f>
        <v/>
      </c>
      <c r="S57" s="52">
        <f>IF($A57="","",IFERROR($R57*'Settings &amp; Lists'!$B$5,""))</f>
        <v/>
      </c>
      <c r="T57" s="52">
        <f>IF($A57="","",IFERROR($K57*VLOOKUP($E57,'Settings &amp; Lists'!$F$11:$G$110,2,FALSE),""))</f>
        <v/>
      </c>
      <c r="U57" s="52">
        <f>IF($A57="","",IFERROR($S57+$T57,""))</f>
        <v/>
      </c>
      <c r="V57" s="24" t="n"/>
      <c r="W57" s="30" t="n"/>
      <c r="X57" s="31" t="n"/>
    </row>
    <row r="58">
      <c r="A58" s="22" t="n"/>
      <c r="B58" s="49" t="n"/>
      <c r="C58" s="22" t="n"/>
      <c r="D58" s="22" t="n"/>
      <c r="E58" s="22" t="n"/>
      <c r="F58" s="22" t="n"/>
      <c r="G58" s="22" t="n"/>
      <c r="H58" s="24" t="n"/>
      <c r="I58" s="24" t="n"/>
      <c r="J58" s="24" t="n"/>
      <c r="K58" s="25">
        <f>IF($A58="","",IFERROR(VLOOKUP($C58&amp;"|"&amp;$D58,'Settings &amp; Lists'!$A$11:$D$110,4,FALSE),""))</f>
        <v/>
      </c>
      <c r="L58" s="50" t="n"/>
      <c r="M58" s="50" t="n"/>
      <c r="N58" s="50" t="n"/>
      <c r="O58" s="50" t="n"/>
      <c r="P58" s="27">
        <f>IF($A58="","",IF($L58="","Needs Time",IF($O58&lt;&gt;"","Departed",IF($M58&lt;&gt;"",IF(NOW()&gt;$N58,"At Dock - Late","At Dock"),IF(NOW()&gt;$L58+IFERROR('Settings &amp; Lists'!$B$7/24,0),"Late Arrival",IF(NOW()+TIME(2,0,0)&gt;=$L58,"Due Soon","Scheduled"))))))</f>
        <v/>
      </c>
      <c r="Q58" s="51">
        <f>IF($A58="","",IFERROR(IF($M58="","",MAX(0,24*((IF($O58="",NOW(),$O58)-$M58)))),""))</f>
        <v/>
      </c>
      <c r="R58" s="51">
        <f>IF($A58="","",IFERROR($K58/'Settings &amp; Lists'!$B$4,""))</f>
        <v/>
      </c>
      <c r="S58" s="52">
        <f>IF($A58="","",IFERROR($R58*'Settings &amp; Lists'!$B$5,""))</f>
        <v/>
      </c>
      <c r="T58" s="52">
        <f>IF($A58="","",IFERROR($K58*VLOOKUP($E58,'Settings &amp; Lists'!$F$11:$G$110,2,FALSE),""))</f>
        <v/>
      </c>
      <c r="U58" s="52">
        <f>IF($A58="","",IFERROR($S58+$T58,""))</f>
        <v/>
      </c>
      <c r="V58" s="24" t="n"/>
      <c r="W58" s="30" t="n"/>
      <c r="X58" s="31" t="n"/>
    </row>
    <row r="59">
      <c r="A59" s="22" t="n"/>
      <c r="B59" s="49" t="n"/>
      <c r="C59" s="22" t="n"/>
      <c r="D59" s="22" t="n"/>
      <c r="E59" s="22" t="n"/>
      <c r="F59" s="22" t="n"/>
      <c r="G59" s="22" t="n"/>
      <c r="H59" s="24" t="n"/>
      <c r="I59" s="24" t="n"/>
      <c r="J59" s="24" t="n"/>
      <c r="K59" s="25">
        <f>IF($A59="","",IFERROR(VLOOKUP($C59&amp;"|"&amp;$D59,'Settings &amp; Lists'!$A$11:$D$110,4,FALSE),""))</f>
        <v/>
      </c>
      <c r="L59" s="50" t="n"/>
      <c r="M59" s="50" t="n"/>
      <c r="N59" s="50" t="n"/>
      <c r="O59" s="50" t="n"/>
      <c r="P59" s="27">
        <f>IF($A59="","",IF($L59="","Needs Time",IF($O59&lt;&gt;"","Departed",IF($M59&lt;&gt;"",IF(NOW()&gt;$N59,"At Dock - Late","At Dock"),IF(NOW()&gt;$L59+IFERROR('Settings &amp; Lists'!$B$7/24,0),"Late Arrival",IF(NOW()+TIME(2,0,0)&gt;=$L59,"Due Soon","Scheduled"))))))</f>
        <v/>
      </c>
      <c r="Q59" s="51">
        <f>IF($A59="","",IFERROR(IF($M59="","",MAX(0,24*((IF($O59="",NOW(),$O59)-$M59)))),""))</f>
        <v/>
      </c>
      <c r="R59" s="51">
        <f>IF($A59="","",IFERROR($K59/'Settings &amp; Lists'!$B$4,""))</f>
        <v/>
      </c>
      <c r="S59" s="52">
        <f>IF($A59="","",IFERROR($R59*'Settings &amp; Lists'!$B$5,""))</f>
        <v/>
      </c>
      <c r="T59" s="52">
        <f>IF($A59="","",IFERROR($K59*VLOOKUP($E59,'Settings &amp; Lists'!$F$11:$G$110,2,FALSE),""))</f>
        <v/>
      </c>
      <c r="U59" s="52">
        <f>IF($A59="","",IFERROR($S59+$T59,""))</f>
        <v/>
      </c>
      <c r="V59" s="24" t="n"/>
      <c r="W59" s="30" t="n"/>
      <c r="X59" s="31" t="n"/>
    </row>
    <row r="60">
      <c r="A60" s="22" t="n"/>
      <c r="B60" s="49" t="n"/>
      <c r="C60" s="22" t="n"/>
      <c r="D60" s="22" t="n"/>
      <c r="E60" s="22" t="n"/>
      <c r="F60" s="22" t="n"/>
      <c r="G60" s="22" t="n"/>
      <c r="H60" s="24" t="n"/>
      <c r="I60" s="24" t="n"/>
      <c r="J60" s="24" t="n"/>
      <c r="K60" s="25">
        <f>IF($A60="","",IFERROR(VLOOKUP($C60&amp;"|"&amp;$D60,'Settings &amp; Lists'!$A$11:$D$110,4,FALSE),""))</f>
        <v/>
      </c>
      <c r="L60" s="50" t="n"/>
      <c r="M60" s="50" t="n"/>
      <c r="N60" s="50" t="n"/>
      <c r="O60" s="50" t="n"/>
      <c r="P60" s="27">
        <f>IF($A60="","",IF($L60="","Needs Time",IF($O60&lt;&gt;"","Departed",IF($M60&lt;&gt;"",IF(NOW()&gt;$N60,"At Dock - Late","At Dock"),IF(NOW()&gt;$L60+IFERROR('Settings &amp; Lists'!$B$7/24,0),"Late Arrival",IF(NOW()+TIME(2,0,0)&gt;=$L60,"Due Soon","Scheduled"))))))</f>
        <v/>
      </c>
      <c r="Q60" s="51">
        <f>IF($A60="","",IFERROR(IF($M60="","",MAX(0,24*((IF($O60="",NOW(),$O60)-$M60)))),""))</f>
        <v/>
      </c>
      <c r="R60" s="51">
        <f>IF($A60="","",IFERROR($K60/'Settings &amp; Lists'!$B$4,""))</f>
        <v/>
      </c>
      <c r="S60" s="52">
        <f>IF($A60="","",IFERROR($R60*'Settings &amp; Lists'!$B$5,""))</f>
        <v/>
      </c>
      <c r="T60" s="52">
        <f>IF($A60="","",IFERROR($K60*VLOOKUP($E60,'Settings &amp; Lists'!$F$11:$G$110,2,FALSE),""))</f>
        <v/>
      </c>
      <c r="U60" s="52">
        <f>IF($A60="","",IFERROR($S60+$T60,""))</f>
        <v/>
      </c>
      <c r="V60" s="24" t="n"/>
      <c r="W60" s="30" t="n"/>
      <c r="X60" s="31" t="n"/>
    </row>
    <row r="61">
      <c r="A61" s="22" t="n"/>
      <c r="B61" s="49" t="n"/>
      <c r="C61" s="22" t="n"/>
      <c r="D61" s="22" t="n"/>
      <c r="E61" s="22" t="n"/>
      <c r="F61" s="22" t="n"/>
      <c r="G61" s="22" t="n"/>
      <c r="H61" s="24" t="n"/>
      <c r="I61" s="24" t="n"/>
      <c r="J61" s="24" t="n"/>
      <c r="K61" s="25">
        <f>IF($A61="","",IFERROR(VLOOKUP($C61&amp;"|"&amp;$D61,'Settings &amp; Lists'!$A$11:$D$110,4,FALSE),""))</f>
        <v/>
      </c>
      <c r="L61" s="50" t="n"/>
      <c r="M61" s="50" t="n"/>
      <c r="N61" s="50" t="n"/>
      <c r="O61" s="50" t="n"/>
      <c r="P61" s="27">
        <f>IF($A61="","",IF($L61="","Needs Time",IF($O61&lt;&gt;"","Departed",IF($M61&lt;&gt;"",IF(NOW()&gt;$N61,"At Dock - Late","At Dock"),IF(NOW()&gt;$L61+IFERROR('Settings &amp; Lists'!$B$7/24,0),"Late Arrival",IF(NOW()+TIME(2,0,0)&gt;=$L61,"Due Soon","Scheduled"))))))</f>
        <v/>
      </c>
      <c r="Q61" s="51">
        <f>IF($A61="","",IFERROR(IF($M61="","",MAX(0,24*((IF($O61="",NOW(),$O61)-$M61)))),""))</f>
        <v/>
      </c>
      <c r="R61" s="51">
        <f>IF($A61="","",IFERROR($K61/'Settings &amp; Lists'!$B$4,""))</f>
        <v/>
      </c>
      <c r="S61" s="52">
        <f>IF($A61="","",IFERROR($R61*'Settings &amp; Lists'!$B$5,""))</f>
        <v/>
      </c>
      <c r="T61" s="52">
        <f>IF($A61="","",IFERROR($K61*VLOOKUP($E61,'Settings &amp; Lists'!$F$11:$G$110,2,FALSE),""))</f>
        <v/>
      </c>
      <c r="U61" s="52">
        <f>IF($A61="","",IFERROR($S61+$T61,""))</f>
        <v/>
      </c>
      <c r="V61" s="24" t="n"/>
      <c r="W61" s="30" t="n"/>
      <c r="X61" s="31" t="n"/>
    </row>
    <row r="62">
      <c r="A62" s="22" t="n"/>
      <c r="B62" s="49" t="n"/>
      <c r="C62" s="22" t="n"/>
      <c r="D62" s="22" t="n"/>
      <c r="E62" s="22" t="n"/>
      <c r="F62" s="22" t="n"/>
      <c r="G62" s="22" t="n"/>
      <c r="H62" s="24" t="n"/>
      <c r="I62" s="24" t="n"/>
      <c r="J62" s="24" t="n"/>
      <c r="K62" s="25">
        <f>IF($A62="","",IFERROR(VLOOKUP($C62&amp;"|"&amp;$D62,'Settings &amp; Lists'!$A$11:$D$110,4,FALSE),""))</f>
        <v/>
      </c>
      <c r="L62" s="50" t="n"/>
      <c r="M62" s="50" t="n"/>
      <c r="N62" s="50" t="n"/>
      <c r="O62" s="50" t="n"/>
      <c r="P62" s="27">
        <f>IF($A62="","",IF($L62="","Needs Time",IF($O62&lt;&gt;"","Departed",IF($M62&lt;&gt;"",IF(NOW()&gt;$N62,"At Dock - Late","At Dock"),IF(NOW()&gt;$L62+IFERROR('Settings &amp; Lists'!$B$7/24,0),"Late Arrival",IF(NOW()+TIME(2,0,0)&gt;=$L62,"Due Soon","Scheduled"))))))</f>
        <v/>
      </c>
      <c r="Q62" s="51">
        <f>IF($A62="","",IFERROR(IF($M62="","",MAX(0,24*((IF($O62="",NOW(),$O62)-$M62)))),""))</f>
        <v/>
      </c>
      <c r="R62" s="51">
        <f>IF($A62="","",IFERROR($K62/'Settings &amp; Lists'!$B$4,""))</f>
        <v/>
      </c>
      <c r="S62" s="52">
        <f>IF($A62="","",IFERROR($R62*'Settings &amp; Lists'!$B$5,""))</f>
        <v/>
      </c>
      <c r="T62" s="52">
        <f>IF($A62="","",IFERROR($K62*VLOOKUP($E62,'Settings &amp; Lists'!$F$11:$G$110,2,FALSE),""))</f>
        <v/>
      </c>
      <c r="U62" s="52">
        <f>IF($A62="","",IFERROR($S62+$T62,""))</f>
        <v/>
      </c>
      <c r="V62" s="24" t="n"/>
      <c r="W62" s="30" t="n"/>
      <c r="X62" s="31" t="n"/>
    </row>
    <row r="63">
      <c r="A63" s="22" t="n"/>
      <c r="B63" s="49" t="n"/>
      <c r="C63" s="22" t="n"/>
      <c r="D63" s="22" t="n"/>
      <c r="E63" s="22" t="n"/>
      <c r="F63" s="22" t="n"/>
      <c r="G63" s="22" t="n"/>
      <c r="H63" s="24" t="n"/>
      <c r="I63" s="24" t="n"/>
      <c r="J63" s="24" t="n"/>
      <c r="K63" s="25">
        <f>IF($A63="","",IFERROR(VLOOKUP($C63&amp;"|"&amp;$D63,'Settings &amp; Lists'!$A$11:$D$110,4,FALSE),""))</f>
        <v/>
      </c>
      <c r="L63" s="50" t="n"/>
      <c r="M63" s="50" t="n"/>
      <c r="N63" s="50" t="n"/>
      <c r="O63" s="50" t="n"/>
      <c r="P63" s="27">
        <f>IF($A63="","",IF($L63="","Needs Time",IF($O63&lt;&gt;"","Departed",IF($M63&lt;&gt;"",IF(NOW()&gt;$N63,"At Dock - Late","At Dock"),IF(NOW()&gt;$L63+IFERROR('Settings &amp; Lists'!$B$7/24,0),"Late Arrival",IF(NOW()+TIME(2,0,0)&gt;=$L63,"Due Soon","Scheduled"))))))</f>
        <v/>
      </c>
      <c r="Q63" s="51">
        <f>IF($A63="","",IFERROR(IF($M63="","",MAX(0,24*((IF($O63="",NOW(),$O63)-$M63)))),""))</f>
        <v/>
      </c>
      <c r="R63" s="51">
        <f>IF($A63="","",IFERROR($K63/'Settings &amp; Lists'!$B$4,""))</f>
        <v/>
      </c>
      <c r="S63" s="52">
        <f>IF($A63="","",IFERROR($R63*'Settings &amp; Lists'!$B$5,""))</f>
        <v/>
      </c>
      <c r="T63" s="52">
        <f>IF($A63="","",IFERROR($K63*VLOOKUP($E63,'Settings &amp; Lists'!$F$11:$G$110,2,FALSE),""))</f>
        <v/>
      </c>
      <c r="U63" s="52">
        <f>IF($A63="","",IFERROR($S63+$T63,""))</f>
        <v/>
      </c>
      <c r="V63" s="24" t="n"/>
      <c r="W63" s="30" t="n"/>
      <c r="X63" s="31" t="n"/>
    </row>
    <row r="64">
      <c r="A64" s="22" t="n"/>
      <c r="B64" s="49" t="n"/>
      <c r="C64" s="22" t="n"/>
      <c r="D64" s="22" t="n"/>
      <c r="E64" s="22" t="n"/>
      <c r="F64" s="22" t="n"/>
      <c r="G64" s="22" t="n"/>
      <c r="H64" s="24" t="n"/>
      <c r="I64" s="24" t="n"/>
      <c r="J64" s="24" t="n"/>
      <c r="K64" s="25">
        <f>IF($A64="","",IFERROR(VLOOKUP($C64&amp;"|"&amp;$D64,'Settings &amp; Lists'!$A$11:$D$110,4,FALSE),""))</f>
        <v/>
      </c>
      <c r="L64" s="50" t="n"/>
      <c r="M64" s="50" t="n"/>
      <c r="N64" s="50" t="n"/>
      <c r="O64" s="50" t="n"/>
      <c r="P64" s="27">
        <f>IF($A64="","",IF($L64="","Needs Time",IF($O64&lt;&gt;"","Departed",IF($M64&lt;&gt;"",IF(NOW()&gt;$N64,"At Dock - Late","At Dock"),IF(NOW()&gt;$L64+IFERROR('Settings &amp; Lists'!$B$7/24,0),"Late Arrival",IF(NOW()+TIME(2,0,0)&gt;=$L64,"Due Soon","Scheduled"))))))</f>
        <v/>
      </c>
      <c r="Q64" s="51">
        <f>IF($A64="","",IFERROR(IF($M64="","",MAX(0,24*((IF($O64="",NOW(),$O64)-$M64)))),""))</f>
        <v/>
      </c>
      <c r="R64" s="51">
        <f>IF($A64="","",IFERROR($K64/'Settings &amp; Lists'!$B$4,""))</f>
        <v/>
      </c>
      <c r="S64" s="52">
        <f>IF($A64="","",IFERROR($R64*'Settings &amp; Lists'!$B$5,""))</f>
        <v/>
      </c>
      <c r="T64" s="52">
        <f>IF($A64="","",IFERROR($K64*VLOOKUP($E64,'Settings &amp; Lists'!$F$11:$G$110,2,FALSE),""))</f>
        <v/>
      </c>
      <c r="U64" s="52">
        <f>IF($A64="","",IFERROR($S64+$T64,""))</f>
        <v/>
      </c>
      <c r="V64" s="24" t="n"/>
      <c r="W64" s="30" t="n"/>
      <c r="X64" s="31" t="n"/>
    </row>
    <row r="65">
      <c r="A65" s="22" t="n"/>
      <c r="B65" s="49" t="n"/>
      <c r="C65" s="22" t="n"/>
      <c r="D65" s="22" t="n"/>
      <c r="E65" s="22" t="n"/>
      <c r="F65" s="22" t="n"/>
      <c r="G65" s="22" t="n"/>
      <c r="H65" s="24" t="n"/>
      <c r="I65" s="24" t="n"/>
      <c r="J65" s="24" t="n"/>
      <c r="K65" s="25">
        <f>IF($A65="","",IFERROR(VLOOKUP($C65&amp;"|"&amp;$D65,'Settings &amp; Lists'!$A$11:$D$110,4,FALSE),""))</f>
        <v/>
      </c>
      <c r="L65" s="50" t="n"/>
      <c r="M65" s="50" t="n"/>
      <c r="N65" s="50" t="n"/>
      <c r="O65" s="50" t="n"/>
      <c r="P65" s="27">
        <f>IF($A65="","",IF($L65="","Needs Time",IF($O65&lt;&gt;"","Departed",IF($M65&lt;&gt;"",IF(NOW()&gt;$N65,"At Dock - Late","At Dock"),IF(NOW()&gt;$L65+IFERROR('Settings &amp; Lists'!$B$7/24,0),"Late Arrival",IF(NOW()+TIME(2,0,0)&gt;=$L65,"Due Soon","Scheduled"))))))</f>
        <v/>
      </c>
      <c r="Q65" s="51">
        <f>IF($A65="","",IFERROR(IF($M65="","",MAX(0,24*((IF($O65="",NOW(),$O65)-$M65)))),""))</f>
        <v/>
      </c>
      <c r="R65" s="51">
        <f>IF($A65="","",IFERROR($K65/'Settings &amp; Lists'!$B$4,""))</f>
        <v/>
      </c>
      <c r="S65" s="52">
        <f>IF($A65="","",IFERROR($R65*'Settings &amp; Lists'!$B$5,""))</f>
        <v/>
      </c>
      <c r="T65" s="52">
        <f>IF($A65="","",IFERROR($K65*VLOOKUP($E65,'Settings &amp; Lists'!$F$11:$G$110,2,FALSE),""))</f>
        <v/>
      </c>
      <c r="U65" s="52">
        <f>IF($A65="","",IFERROR($S65+$T65,""))</f>
        <v/>
      </c>
      <c r="V65" s="24" t="n"/>
      <c r="W65" s="30" t="n"/>
      <c r="X65" s="31" t="n"/>
    </row>
    <row r="66">
      <c r="A66" s="22" t="n"/>
      <c r="B66" s="49" t="n"/>
      <c r="C66" s="22" t="n"/>
      <c r="D66" s="22" t="n"/>
      <c r="E66" s="22" t="n"/>
      <c r="F66" s="22" t="n"/>
      <c r="G66" s="22" t="n"/>
      <c r="H66" s="24" t="n"/>
      <c r="I66" s="24" t="n"/>
      <c r="J66" s="24" t="n"/>
      <c r="K66" s="25">
        <f>IF($A66="","",IFERROR(VLOOKUP($C66&amp;"|"&amp;$D66,'Settings &amp; Lists'!$A$11:$D$110,4,FALSE),""))</f>
        <v/>
      </c>
      <c r="L66" s="50" t="n"/>
      <c r="M66" s="50" t="n"/>
      <c r="N66" s="50" t="n"/>
      <c r="O66" s="50" t="n"/>
      <c r="P66" s="27">
        <f>IF($A66="","",IF($L66="","Needs Time",IF($O66&lt;&gt;"","Departed",IF($M66&lt;&gt;"",IF(NOW()&gt;$N66,"At Dock - Late","At Dock"),IF(NOW()&gt;$L66+IFERROR('Settings &amp; Lists'!$B$7/24,0),"Late Arrival",IF(NOW()+TIME(2,0,0)&gt;=$L66,"Due Soon","Scheduled"))))))</f>
        <v/>
      </c>
      <c r="Q66" s="51">
        <f>IF($A66="","",IFERROR(IF($M66="","",MAX(0,24*((IF($O66="",NOW(),$O66)-$M66)))),""))</f>
        <v/>
      </c>
      <c r="R66" s="51">
        <f>IF($A66="","",IFERROR($K66/'Settings &amp; Lists'!$B$4,""))</f>
        <v/>
      </c>
      <c r="S66" s="52">
        <f>IF($A66="","",IFERROR($R66*'Settings &amp; Lists'!$B$5,""))</f>
        <v/>
      </c>
      <c r="T66" s="52">
        <f>IF($A66="","",IFERROR($K66*VLOOKUP($E66,'Settings &amp; Lists'!$F$11:$G$110,2,FALSE),""))</f>
        <v/>
      </c>
      <c r="U66" s="52">
        <f>IF($A66="","",IFERROR($S66+$T66,""))</f>
        <v/>
      </c>
      <c r="V66" s="24" t="n"/>
      <c r="W66" s="30" t="n"/>
      <c r="X66" s="31" t="n"/>
    </row>
    <row r="67">
      <c r="A67" s="22" t="n"/>
      <c r="B67" s="49" t="n"/>
      <c r="C67" s="22" t="n"/>
      <c r="D67" s="22" t="n"/>
      <c r="E67" s="22" t="n"/>
      <c r="F67" s="22" t="n"/>
      <c r="G67" s="22" t="n"/>
      <c r="H67" s="24" t="n"/>
      <c r="I67" s="24" t="n"/>
      <c r="J67" s="24" t="n"/>
      <c r="K67" s="25">
        <f>IF($A67="","",IFERROR(VLOOKUP($C67&amp;"|"&amp;$D67,'Settings &amp; Lists'!$A$11:$D$110,4,FALSE),""))</f>
        <v/>
      </c>
      <c r="L67" s="50" t="n"/>
      <c r="M67" s="50" t="n"/>
      <c r="N67" s="50" t="n"/>
      <c r="O67" s="50" t="n"/>
      <c r="P67" s="27">
        <f>IF($A67="","",IF($L67="","Needs Time",IF($O67&lt;&gt;"","Departed",IF($M67&lt;&gt;"",IF(NOW()&gt;$N67,"At Dock - Late","At Dock"),IF(NOW()&gt;$L67+IFERROR('Settings &amp; Lists'!$B$7/24,0),"Late Arrival",IF(NOW()+TIME(2,0,0)&gt;=$L67,"Due Soon","Scheduled"))))))</f>
        <v/>
      </c>
      <c r="Q67" s="51">
        <f>IF($A67="","",IFERROR(IF($M67="","",MAX(0,24*((IF($O67="",NOW(),$O67)-$M67)))),""))</f>
        <v/>
      </c>
      <c r="R67" s="51">
        <f>IF($A67="","",IFERROR($K67/'Settings &amp; Lists'!$B$4,""))</f>
        <v/>
      </c>
      <c r="S67" s="52">
        <f>IF($A67="","",IFERROR($R67*'Settings &amp; Lists'!$B$5,""))</f>
        <v/>
      </c>
      <c r="T67" s="52">
        <f>IF($A67="","",IFERROR($K67*VLOOKUP($E67,'Settings &amp; Lists'!$F$11:$G$110,2,FALSE),""))</f>
        <v/>
      </c>
      <c r="U67" s="52">
        <f>IF($A67="","",IFERROR($S67+$T67,""))</f>
        <v/>
      </c>
      <c r="V67" s="24" t="n"/>
      <c r="W67" s="30" t="n"/>
      <c r="X67" s="31" t="n"/>
    </row>
    <row r="68">
      <c r="A68" s="22" t="n"/>
      <c r="B68" s="49" t="n"/>
      <c r="C68" s="22" t="n"/>
      <c r="D68" s="22" t="n"/>
      <c r="E68" s="22" t="n"/>
      <c r="F68" s="22" t="n"/>
      <c r="G68" s="22" t="n"/>
      <c r="H68" s="24" t="n"/>
      <c r="I68" s="24" t="n"/>
      <c r="J68" s="24" t="n"/>
      <c r="K68" s="25">
        <f>IF($A68="","",IFERROR(VLOOKUP($C68&amp;"|"&amp;$D68,'Settings &amp; Lists'!$A$11:$D$110,4,FALSE),""))</f>
        <v/>
      </c>
      <c r="L68" s="50" t="n"/>
      <c r="M68" s="50" t="n"/>
      <c r="N68" s="50" t="n"/>
      <c r="O68" s="50" t="n"/>
      <c r="P68" s="27">
        <f>IF($A68="","",IF($L68="","Needs Time",IF($O68&lt;&gt;"","Departed",IF($M68&lt;&gt;"",IF(NOW()&gt;$N68,"At Dock - Late","At Dock"),IF(NOW()&gt;$L68+IFERROR('Settings &amp; Lists'!$B$7/24,0),"Late Arrival",IF(NOW()+TIME(2,0,0)&gt;=$L68,"Due Soon","Scheduled"))))))</f>
        <v/>
      </c>
      <c r="Q68" s="51">
        <f>IF($A68="","",IFERROR(IF($M68="","",MAX(0,24*((IF($O68="",NOW(),$O68)-$M68)))),""))</f>
        <v/>
      </c>
      <c r="R68" s="51">
        <f>IF($A68="","",IFERROR($K68/'Settings &amp; Lists'!$B$4,""))</f>
        <v/>
      </c>
      <c r="S68" s="52">
        <f>IF($A68="","",IFERROR($R68*'Settings &amp; Lists'!$B$5,""))</f>
        <v/>
      </c>
      <c r="T68" s="52">
        <f>IF($A68="","",IFERROR($K68*VLOOKUP($E68,'Settings &amp; Lists'!$F$11:$G$110,2,FALSE),""))</f>
        <v/>
      </c>
      <c r="U68" s="52">
        <f>IF($A68="","",IFERROR($S68+$T68,""))</f>
        <v/>
      </c>
      <c r="V68" s="24" t="n"/>
      <c r="W68" s="30" t="n"/>
      <c r="X68" s="31" t="n"/>
    </row>
    <row r="69">
      <c r="A69" s="22" t="n"/>
      <c r="B69" s="49" t="n"/>
      <c r="C69" s="22" t="n"/>
      <c r="D69" s="22" t="n"/>
      <c r="E69" s="22" t="n"/>
      <c r="F69" s="22" t="n"/>
      <c r="G69" s="22" t="n"/>
      <c r="H69" s="24" t="n"/>
      <c r="I69" s="24" t="n"/>
      <c r="J69" s="24" t="n"/>
      <c r="K69" s="25">
        <f>IF($A69="","",IFERROR(VLOOKUP($C69&amp;"|"&amp;$D69,'Settings &amp; Lists'!$A$11:$D$110,4,FALSE),""))</f>
        <v/>
      </c>
      <c r="L69" s="50" t="n"/>
      <c r="M69" s="50" t="n"/>
      <c r="N69" s="50" t="n"/>
      <c r="O69" s="50" t="n"/>
      <c r="P69" s="27">
        <f>IF($A69="","",IF($L69="","Needs Time",IF($O69&lt;&gt;"","Departed",IF($M69&lt;&gt;"",IF(NOW()&gt;$N69,"At Dock - Late","At Dock"),IF(NOW()&gt;$L69+IFERROR('Settings &amp; Lists'!$B$7/24,0),"Late Arrival",IF(NOW()+TIME(2,0,0)&gt;=$L69,"Due Soon","Scheduled"))))))</f>
        <v/>
      </c>
      <c r="Q69" s="51">
        <f>IF($A69="","",IFERROR(IF($M69="","",MAX(0,24*((IF($O69="",NOW(),$O69)-$M69)))),""))</f>
        <v/>
      </c>
      <c r="R69" s="51">
        <f>IF($A69="","",IFERROR($K69/'Settings &amp; Lists'!$B$4,""))</f>
        <v/>
      </c>
      <c r="S69" s="52">
        <f>IF($A69="","",IFERROR($R69*'Settings &amp; Lists'!$B$5,""))</f>
        <v/>
      </c>
      <c r="T69" s="52">
        <f>IF($A69="","",IFERROR($K69*VLOOKUP($E69,'Settings &amp; Lists'!$F$11:$G$110,2,FALSE),""))</f>
        <v/>
      </c>
      <c r="U69" s="52">
        <f>IF($A69="","",IFERROR($S69+$T69,""))</f>
        <v/>
      </c>
      <c r="V69" s="24" t="n"/>
      <c r="W69" s="30" t="n"/>
      <c r="X69" s="31" t="n"/>
    </row>
    <row r="70">
      <c r="A70" s="22" t="n"/>
      <c r="B70" s="49" t="n"/>
      <c r="C70" s="22" t="n"/>
      <c r="D70" s="22" t="n"/>
      <c r="E70" s="22" t="n"/>
      <c r="F70" s="22" t="n"/>
      <c r="G70" s="22" t="n"/>
      <c r="H70" s="24" t="n"/>
      <c r="I70" s="24" t="n"/>
      <c r="J70" s="24" t="n"/>
      <c r="K70" s="25">
        <f>IF($A70="","",IFERROR(VLOOKUP($C70&amp;"|"&amp;$D70,'Settings &amp; Lists'!$A$11:$D$110,4,FALSE),""))</f>
        <v/>
      </c>
      <c r="L70" s="50" t="n"/>
      <c r="M70" s="50" t="n"/>
      <c r="N70" s="50" t="n"/>
      <c r="O70" s="50" t="n"/>
      <c r="P70" s="27">
        <f>IF($A70="","",IF($L70="","Needs Time",IF($O70&lt;&gt;"","Departed",IF($M70&lt;&gt;"",IF(NOW()&gt;$N70,"At Dock - Late","At Dock"),IF(NOW()&gt;$L70+IFERROR('Settings &amp; Lists'!$B$7/24,0),"Late Arrival",IF(NOW()+TIME(2,0,0)&gt;=$L70,"Due Soon","Scheduled"))))))</f>
        <v/>
      </c>
      <c r="Q70" s="51">
        <f>IF($A70="","",IFERROR(IF($M70="","",MAX(0,24*((IF($O70="",NOW(),$O70)-$M70)))),""))</f>
        <v/>
      </c>
      <c r="R70" s="51">
        <f>IF($A70="","",IFERROR($K70/'Settings &amp; Lists'!$B$4,""))</f>
        <v/>
      </c>
      <c r="S70" s="52">
        <f>IF($A70="","",IFERROR($R70*'Settings &amp; Lists'!$B$5,""))</f>
        <v/>
      </c>
      <c r="T70" s="52">
        <f>IF($A70="","",IFERROR($K70*VLOOKUP($E70,'Settings &amp; Lists'!$F$11:$G$110,2,FALSE),""))</f>
        <v/>
      </c>
      <c r="U70" s="52">
        <f>IF($A70="","",IFERROR($S70+$T70,""))</f>
        <v/>
      </c>
      <c r="V70" s="24" t="n"/>
      <c r="W70" s="30" t="n"/>
      <c r="X70" s="31" t="n"/>
    </row>
    <row r="71">
      <c r="A71" s="22" t="n"/>
      <c r="B71" s="49" t="n"/>
      <c r="C71" s="22" t="n"/>
      <c r="D71" s="22" t="n"/>
      <c r="E71" s="22" t="n"/>
      <c r="F71" s="22" t="n"/>
      <c r="G71" s="22" t="n"/>
      <c r="H71" s="24" t="n"/>
      <c r="I71" s="24" t="n"/>
      <c r="J71" s="24" t="n"/>
      <c r="K71" s="25">
        <f>IF($A71="","",IFERROR(VLOOKUP($C71&amp;"|"&amp;$D71,'Settings &amp; Lists'!$A$11:$D$110,4,FALSE),""))</f>
        <v/>
      </c>
      <c r="L71" s="50" t="n"/>
      <c r="M71" s="50" t="n"/>
      <c r="N71" s="50" t="n"/>
      <c r="O71" s="50" t="n"/>
      <c r="P71" s="27">
        <f>IF($A71="","",IF($L71="","Needs Time",IF($O71&lt;&gt;"","Departed",IF($M71&lt;&gt;"",IF(NOW()&gt;$N71,"At Dock - Late","At Dock"),IF(NOW()&gt;$L71+IFERROR('Settings &amp; Lists'!$B$7/24,0),"Late Arrival",IF(NOW()+TIME(2,0,0)&gt;=$L71,"Due Soon","Scheduled"))))))</f>
        <v/>
      </c>
      <c r="Q71" s="51">
        <f>IF($A71="","",IFERROR(IF($M71="","",MAX(0,24*((IF($O71="",NOW(),$O71)-$M71)))),""))</f>
        <v/>
      </c>
      <c r="R71" s="51">
        <f>IF($A71="","",IFERROR($K71/'Settings &amp; Lists'!$B$4,""))</f>
        <v/>
      </c>
      <c r="S71" s="52">
        <f>IF($A71="","",IFERROR($R71*'Settings &amp; Lists'!$B$5,""))</f>
        <v/>
      </c>
      <c r="T71" s="52">
        <f>IF($A71="","",IFERROR($K71*VLOOKUP($E71,'Settings &amp; Lists'!$F$11:$G$110,2,FALSE),""))</f>
        <v/>
      </c>
      <c r="U71" s="52">
        <f>IF($A71="","",IFERROR($S71+$T71,""))</f>
        <v/>
      </c>
      <c r="V71" s="24" t="n"/>
      <c r="W71" s="30" t="n"/>
      <c r="X71" s="31" t="n"/>
    </row>
    <row r="72">
      <c r="A72" s="22" t="n"/>
      <c r="B72" s="49" t="n"/>
      <c r="C72" s="22" t="n"/>
      <c r="D72" s="22" t="n"/>
      <c r="E72" s="22" t="n"/>
      <c r="F72" s="22" t="n"/>
      <c r="G72" s="22" t="n"/>
      <c r="H72" s="24" t="n"/>
      <c r="I72" s="24" t="n"/>
      <c r="J72" s="24" t="n"/>
      <c r="K72" s="25">
        <f>IF($A72="","",IFERROR(VLOOKUP($C72&amp;"|"&amp;$D72,'Settings &amp; Lists'!$A$11:$D$110,4,FALSE),""))</f>
        <v/>
      </c>
      <c r="L72" s="50" t="n"/>
      <c r="M72" s="50" t="n"/>
      <c r="N72" s="50" t="n"/>
      <c r="O72" s="50" t="n"/>
      <c r="P72" s="27">
        <f>IF($A72="","",IF($L72="","Needs Time",IF($O72&lt;&gt;"","Departed",IF($M72&lt;&gt;"",IF(NOW()&gt;$N72,"At Dock - Late","At Dock"),IF(NOW()&gt;$L72+IFERROR('Settings &amp; Lists'!$B$7/24,0),"Late Arrival",IF(NOW()+TIME(2,0,0)&gt;=$L72,"Due Soon","Scheduled"))))))</f>
        <v/>
      </c>
      <c r="Q72" s="51">
        <f>IF($A72="","",IFERROR(IF($M72="","",MAX(0,24*((IF($O72="",NOW(),$O72)-$M72)))),""))</f>
        <v/>
      </c>
      <c r="R72" s="51">
        <f>IF($A72="","",IFERROR($K72/'Settings &amp; Lists'!$B$4,""))</f>
        <v/>
      </c>
      <c r="S72" s="52">
        <f>IF($A72="","",IFERROR($R72*'Settings &amp; Lists'!$B$5,""))</f>
        <v/>
      </c>
      <c r="T72" s="52">
        <f>IF($A72="","",IFERROR($K72*VLOOKUP($E72,'Settings &amp; Lists'!$F$11:$G$110,2,FALSE),""))</f>
        <v/>
      </c>
      <c r="U72" s="52">
        <f>IF($A72="","",IFERROR($S72+$T72,""))</f>
        <v/>
      </c>
      <c r="V72" s="24" t="n"/>
      <c r="W72" s="30" t="n"/>
      <c r="X72" s="31" t="n"/>
    </row>
    <row r="73">
      <c r="A73" s="22" t="n"/>
      <c r="B73" s="49" t="n"/>
      <c r="C73" s="22" t="n"/>
      <c r="D73" s="22" t="n"/>
      <c r="E73" s="22" t="n"/>
      <c r="F73" s="22" t="n"/>
      <c r="G73" s="22" t="n"/>
      <c r="H73" s="24" t="n"/>
      <c r="I73" s="24" t="n"/>
      <c r="J73" s="24" t="n"/>
      <c r="K73" s="25">
        <f>IF($A73="","",IFERROR(VLOOKUP($C73&amp;"|"&amp;$D73,'Settings &amp; Lists'!$A$11:$D$110,4,FALSE),""))</f>
        <v/>
      </c>
      <c r="L73" s="50" t="n"/>
      <c r="M73" s="50" t="n"/>
      <c r="N73" s="50" t="n"/>
      <c r="O73" s="50" t="n"/>
      <c r="P73" s="27">
        <f>IF($A73="","",IF($L73="","Needs Time",IF($O73&lt;&gt;"","Departed",IF($M73&lt;&gt;"",IF(NOW()&gt;$N73,"At Dock - Late","At Dock"),IF(NOW()&gt;$L73+IFERROR('Settings &amp; Lists'!$B$7/24,0),"Late Arrival",IF(NOW()+TIME(2,0,0)&gt;=$L73,"Due Soon","Scheduled"))))))</f>
        <v/>
      </c>
      <c r="Q73" s="51">
        <f>IF($A73="","",IFERROR(IF($M73="","",MAX(0,24*((IF($O73="",NOW(),$O73)-$M73)))),""))</f>
        <v/>
      </c>
      <c r="R73" s="51">
        <f>IF($A73="","",IFERROR($K73/'Settings &amp; Lists'!$B$4,""))</f>
        <v/>
      </c>
      <c r="S73" s="52">
        <f>IF($A73="","",IFERROR($R73*'Settings &amp; Lists'!$B$5,""))</f>
        <v/>
      </c>
      <c r="T73" s="52">
        <f>IF($A73="","",IFERROR($K73*VLOOKUP($E73,'Settings &amp; Lists'!$F$11:$G$110,2,FALSE),""))</f>
        <v/>
      </c>
      <c r="U73" s="52">
        <f>IF($A73="","",IFERROR($S73+$T73,""))</f>
        <v/>
      </c>
      <c r="V73" s="24" t="n"/>
      <c r="W73" s="30" t="n"/>
      <c r="X73" s="31" t="n"/>
    </row>
    <row r="74">
      <c r="A74" s="22" t="n"/>
      <c r="B74" s="49" t="n"/>
      <c r="C74" s="22" t="n"/>
      <c r="D74" s="22" t="n"/>
      <c r="E74" s="22" t="n"/>
      <c r="F74" s="22" t="n"/>
      <c r="G74" s="22" t="n"/>
      <c r="H74" s="24" t="n"/>
      <c r="I74" s="24" t="n"/>
      <c r="J74" s="24" t="n"/>
      <c r="K74" s="25">
        <f>IF($A74="","",IFERROR(VLOOKUP($C74&amp;"|"&amp;$D74,'Settings &amp; Lists'!$A$11:$D$110,4,FALSE),""))</f>
        <v/>
      </c>
      <c r="L74" s="50" t="n"/>
      <c r="M74" s="50" t="n"/>
      <c r="N74" s="50" t="n"/>
      <c r="O74" s="50" t="n"/>
      <c r="P74" s="27">
        <f>IF($A74="","",IF($L74="","Needs Time",IF($O74&lt;&gt;"","Departed",IF($M74&lt;&gt;"",IF(NOW()&gt;$N74,"At Dock - Late","At Dock"),IF(NOW()&gt;$L74+IFERROR('Settings &amp; Lists'!$B$7/24,0),"Late Arrival",IF(NOW()+TIME(2,0,0)&gt;=$L74,"Due Soon","Scheduled"))))))</f>
        <v/>
      </c>
      <c r="Q74" s="51">
        <f>IF($A74="","",IFERROR(IF($M74="","",MAX(0,24*((IF($O74="",NOW(),$O74)-$M74)))),""))</f>
        <v/>
      </c>
      <c r="R74" s="51">
        <f>IF($A74="","",IFERROR($K74/'Settings &amp; Lists'!$B$4,""))</f>
        <v/>
      </c>
      <c r="S74" s="52">
        <f>IF($A74="","",IFERROR($R74*'Settings &amp; Lists'!$B$5,""))</f>
        <v/>
      </c>
      <c r="T74" s="52">
        <f>IF($A74="","",IFERROR($K74*VLOOKUP($E74,'Settings &amp; Lists'!$F$11:$G$110,2,FALSE),""))</f>
        <v/>
      </c>
      <c r="U74" s="52">
        <f>IF($A74="","",IFERROR($S74+$T74,""))</f>
        <v/>
      </c>
      <c r="V74" s="24" t="n"/>
      <c r="W74" s="30" t="n"/>
      <c r="X74" s="31" t="n"/>
    </row>
    <row r="75">
      <c r="A75" s="22" t="n"/>
      <c r="B75" s="49" t="n"/>
      <c r="C75" s="22" t="n"/>
      <c r="D75" s="22" t="n"/>
      <c r="E75" s="22" t="n"/>
      <c r="F75" s="22" t="n"/>
      <c r="G75" s="22" t="n"/>
      <c r="H75" s="24" t="n"/>
      <c r="I75" s="24" t="n"/>
      <c r="J75" s="24" t="n"/>
      <c r="K75" s="25">
        <f>IF($A75="","",IFERROR(VLOOKUP($C75&amp;"|"&amp;$D75,'Settings &amp; Lists'!$A$11:$D$110,4,FALSE),""))</f>
        <v/>
      </c>
      <c r="L75" s="50" t="n"/>
      <c r="M75" s="50" t="n"/>
      <c r="N75" s="50" t="n"/>
      <c r="O75" s="50" t="n"/>
      <c r="P75" s="27">
        <f>IF($A75="","",IF($L75="","Needs Time",IF($O75&lt;&gt;"","Departed",IF($M75&lt;&gt;"",IF(NOW()&gt;$N75,"At Dock - Late","At Dock"),IF(NOW()&gt;$L75+IFERROR('Settings &amp; Lists'!$B$7/24,0),"Late Arrival",IF(NOW()+TIME(2,0,0)&gt;=$L75,"Due Soon","Scheduled"))))))</f>
        <v/>
      </c>
      <c r="Q75" s="51">
        <f>IF($A75="","",IFERROR(IF($M75="","",MAX(0,24*((IF($O75="",NOW(),$O75)-$M75)))),""))</f>
        <v/>
      </c>
      <c r="R75" s="51">
        <f>IF($A75="","",IFERROR($K75/'Settings &amp; Lists'!$B$4,""))</f>
        <v/>
      </c>
      <c r="S75" s="52">
        <f>IF($A75="","",IFERROR($R75*'Settings &amp; Lists'!$B$5,""))</f>
        <v/>
      </c>
      <c r="T75" s="52">
        <f>IF($A75="","",IFERROR($K75*VLOOKUP($E75,'Settings &amp; Lists'!$F$11:$G$110,2,FALSE),""))</f>
        <v/>
      </c>
      <c r="U75" s="52">
        <f>IF($A75="","",IFERROR($S75+$T75,""))</f>
        <v/>
      </c>
      <c r="V75" s="24" t="n"/>
      <c r="W75" s="30" t="n"/>
      <c r="X75" s="31" t="n"/>
    </row>
    <row r="76">
      <c r="A76" s="22" t="n"/>
      <c r="B76" s="49" t="n"/>
      <c r="C76" s="22" t="n"/>
      <c r="D76" s="22" t="n"/>
      <c r="E76" s="22" t="n"/>
      <c r="F76" s="22" t="n"/>
      <c r="G76" s="22" t="n"/>
      <c r="H76" s="24" t="n"/>
      <c r="I76" s="24" t="n"/>
      <c r="J76" s="24" t="n"/>
      <c r="K76" s="25">
        <f>IF($A76="","",IFERROR(VLOOKUP($C76&amp;"|"&amp;$D76,'Settings &amp; Lists'!$A$11:$D$110,4,FALSE),""))</f>
        <v/>
      </c>
      <c r="L76" s="50" t="n"/>
      <c r="M76" s="50" t="n"/>
      <c r="N76" s="50" t="n"/>
      <c r="O76" s="50" t="n"/>
      <c r="P76" s="27">
        <f>IF($A76="","",IF($L76="","Needs Time",IF($O76&lt;&gt;"","Departed",IF($M76&lt;&gt;"",IF(NOW()&gt;$N76,"At Dock - Late","At Dock"),IF(NOW()&gt;$L76+IFERROR('Settings &amp; Lists'!$B$7/24,0),"Late Arrival",IF(NOW()+TIME(2,0,0)&gt;=$L76,"Due Soon","Scheduled"))))))</f>
        <v/>
      </c>
      <c r="Q76" s="51">
        <f>IF($A76="","",IFERROR(IF($M76="","",MAX(0,24*((IF($O76="",NOW(),$O76)-$M76)))),""))</f>
        <v/>
      </c>
      <c r="R76" s="51">
        <f>IF($A76="","",IFERROR($K76/'Settings &amp; Lists'!$B$4,""))</f>
        <v/>
      </c>
      <c r="S76" s="52">
        <f>IF($A76="","",IFERROR($R76*'Settings &amp; Lists'!$B$5,""))</f>
        <v/>
      </c>
      <c r="T76" s="52">
        <f>IF($A76="","",IFERROR($K76*VLOOKUP($E76,'Settings &amp; Lists'!$F$11:$G$110,2,FALSE),""))</f>
        <v/>
      </c>
      <c r="U76" s="52">
        <f>IF($A76="","",IFERROR($S76+$T76,""))</f>
        <v/>
      </c>
      <c r="V76" s="24" t="n"/>
      <c r="W76" s="30" t="n"/>
      <c r="X76" s="31" t="n"/>
    </row>
    <row r="77">
      <c r="A77" s="22" t="n"/>
      <c r="B77" s="49" t="n"/>
      <c r="C77" s="22" t="n"/>
      <c r="D77" s="22" t="n"/>
      <c r="E77" s="22" t="n"/>
      <c r="F77" s="22" t="n"/>
      <c r="G77" s="22" t="n"/>
      <c r="H77" s="24" t="n"/>
      <c r="I77" s="24" t="n"/>
      <c r="J77" s="24" t="n"/>
      <c r="K77" s="25">
        <f>IF($A77="","",IFERROR(VLOOKUP($C77&amp;"|"&amp;$D77,'Settings &amp; Lists'!$A$11:$D$110,4,FALSE),""))</f>
        <v/>
      </c>
      <c r="L77" s="50" t="n"/>
      <c r="M77" s="50" t="n"/>
      <c r="N77" s="50" t="n"/>
      <c r="O77" s="50" t="n"/>
      <c r="P77" s="27">
        <f>IF($A77="","",IF($L77="","Needs Time",IF($O77&lt;&gt;"","Departed",IF($M77&lt;&gt;"",IF(NOW()&gt;$N77,"At Dock - Late","At Dock"),IF(NOW()&gt;$L77+IFERROR('Settings &amp; Lists'!$B$7/24,0),"Late Arrival",IF(NOW()+TIME(2,0,0)&gt;=$L77,"Due Soon","Scheduled"))))))</f>
        <v/>
      </c>
      <c r="Q77" s="51">
        <f>IF($A77="","",IFERROR(IF($M77="","",MAX(0,24*((IF($O77="",NOW(),$O77)-$M77)))),""))</f>
        <v/>
      </c>
      <c r="R77" s="51">
        <f>IF($A77="","",IFERROR($K77/'Settings &amp; Lists'!$B$4,""))</f>
        <v/>
      </c>
      <c r="S77" s="52">
        <f>IF($A77="","",IFERROR($R77*'Settings &amp; Lists'!$B$5,""))</f>
        <v/>
      </c>
      <c r="T77" s="52">
        <f>IF($A77="","",IFERROR($K77*VLOOKUP($E77,'Settings &amp; Lists'!$F$11:$G$110,2,FALSE),""))</f>
        <v/>
      </c>
      <c r="U77" s="52">
        <f>IF($A77="","",IFERROR($S77+$T77,""))</f>
        <v/>
      </c>
      <c r="V77" s="24" t="n"/>
      <c r="W77" s="30" t="n"/>
      <c r="X77" s="31" t="n"/>
    </row>
    <row r="78">
      <c r="A78" s="22" t="n"/>
      <c r="B78" s="49" t="n"/>
      <c r="C78" s="22" t="n"/>
      <c r="D78" s="22" t="n"/>
      <c r="E78" s="22" t="n"/>
      <c r="F78" s="22" t="n"/>
      <c r="G78" s="22" t="n"/>
      <c r="H78" s="24" t="n"/>
      <c r="I78" s="24" t="n"/>
      <c r="J78" s="24" t="n"/>
      <c r="K78" s="25">
        <f>IF($A78="","",IFERROR(VLOOKUP($C78&amp;"|"&amp;$D78,'Settings &amp; Lists'!$A$11:$D$110,4,FALSE),""))</f>
        <v/>
      </c>
      <c r="L78" s="50" t="n"/>
      <c r="M78" s="50" t="n"/>
      <c r="N78" s="50" t="n"/>
      <c r="O78" s="50" t="n"/>
      <c r="P78" s="27">
        <f>IF($A78="","",IF($L78="","Needs Time",IF($O78&lt;&gt;"","Departed",IF($M78&lt;&gt;"",IF(NOW()&gt;$N78,"At Dock - Late","At Dock"),IF(NOW()&gt;$L78+IFERROR('Settings &amp; Lists'!$B$7/24,0),"Late Arrival",IF(NOW()+TIME(2,0,0)&gt;=$L78,"Due Soon","Scheduled"))))))</f>
        <v/>
      </c>
      <c r="Q78" s="51">
        <f>IF($A78="","",IFERROR(IF($M78="","",MAX(0,24*((IF($O78="",NOW(),$O78)-$M78)))),""))</f>
        <v/>
      </c>
      <c r="R78" s="51">
        <f>IF($A78="","",IFERROR($K78/'Settings &amp; Lists'!$B$4,""))</f>
        <v/>
      </c>
      <c r="S78" s="52">
        <f>IF($A78="","",IFERROR($R78*'Settings &amp; Lists'!$B$5,""))</f>
        <v/>
      </c>
      <c r="T78" s="52">
        <f>IF($A78="","",IFERROR($K78*VLOOKUP($E78,'Settings &amp; Lists'!$F$11:$G$110,2,FALSE),""))</f>
        <v/>
      </c>
      <c r="U78" s="52">
        <f>IF($A78="","",IFERROR($S78+$T78,""))</f>
        <v/>
      </c>
      <c r="V78" s="24" t="n"/>
      <c r="W78" s="30" t="n"/>
      <c r="X78" s="31" t="n"/>
    </row>
    <row r="79">
      <c r="A79" s="22" t="n"/>
      <c r="B79" s="49" t="n"/>
      <c r="C79" s="22" t="n"/>
      <c r="D79" s="22" t="n"/>
      <c r="E79" s="22" t="n"/>
      <c r="F79" s="22" t="n"/>
      <c r="G79" s="22" t="n"/>
      <c r="H79" s="24" t="n"/>
      <c r="I79" s="24" t="n"/>
      <c r="J79" s="24" t="n"/>
      <c r="K79" s="25">
        <f>IF($A79="","",IFERROR(VLOOKUP($C79&amp;"|"&amp;$D79,'Settings &amp; Lists'!$A$11:$D$110,4,FALSE),""))</f>
        <v/>
      </c>
      <c r="L79" s="50" t="n"/>
      <c r="M79" s="50" t="n"/>
      <c r="N79" s="50" t="n"/>
      <c r="O79" s="50" t="n"/>
      <c r="P79" s="27">
        <f>IF($A79="","",IF($L79="","Needs Time",IF($O79&lt;&gt;"","Departed",IF($M79&lt;&gt;"",IF(NOW()&gt;$N79,"At Dock - Late","At Dock"),IF(NOW()&gt;$L79+IFERROR('Settings &amp; Lists'!$B$7/24,0),"Late Arrival",IF(NOW()+TIME(2,0,0)&gt;=$L79,"Due Soon","Scheduled"))))))</f>
        <v/>
      </c>
      <c r="Q79" s="51">
        <f>IF($A79="","",IFERROR(IF($M79="","",MAX(0,24*((IF($O79="",NOW(),$O79)-$M79)))),""))</f>
        <v/>
      </c>
      <c r="R79" s="51">
        <f>IF($A79="","",IFERROR($K79/'Settings &amp; Lists'!$B$4,""))</f>
        <v/>
      </c>
      <c r="S79" s="52">
        <f>IF($A79="","",IFERROR($R79*'Settings &amp; Lists'!$B$5,""))</f>
        <v/>
      </c>
      <c r="T79" s="52">
        <f>IF($A79="","",IFERROR($K79*VLOOKUP($E79,'Settings &amp; Lists'!$F$11:$G$110,2,FALSE),""))</f>
        <v/>
      </c>
      <c r="U79" s="52">
        <f>IF($A79="","",IFERROR($S79+$T79,""))</f>
        <v/>
      </c>
      <c r="V79" s="24" t="n"/>
      <c r="W79" s="30" t="n"/>
      <c r="X79" s="31" t="n"/>
    </row>
    <row r="80">
      <c r="A80" s="22" t="n"/>
      <c r="B80" s="49" t="n"/>
      <c r="C80" s="22" t="n"/>
      <c r="D80" s="22" t="n"/>
      <c r="E80" s="22" t="n"/>
      <c r="F80" s="22" t="n"/>
      <c r="G80" s="22" t="n"/>
      <c r="H80" s="24" t="n"/>
      <c r="I80" s="24" t="n"/>
      <c r="J80" s="24" t="n"/>
      <c r="K80" s="25">
        <f>IF($A80="","",IFERROR(VLOOKUP($C80&amp;"|"&amp;$D80,'Settings &amp; Lists'!$A$11:$D$110,4,FALSE),""))</f>
        <v/>
      </c>
      <c r="L80" s="50" t="n"/>
      <c r="M80" s="50" t="n"/>
      <c r="N80" s="50" t="n"/>
      <c r="O80" s="50" t="n"/>
      <c r="P80" s="27">
        <f>IF($A80="","",IF($L80="","Needs Time",IF($O80&lt;&gt;"","Departed",IF($M80&lt;&gt;"",IF(NOW()&gt;$N80,"At Dock - Late","At Dock"),IF(NOW()&gt;$L80+IFERROR('Settings &amp; Lists'!$B$7/24,0),"Late Arrival",IF(NOW()+TIME(2,0,0)&gt;=$L80,"Due Soon","Scheduled"))))))</f>
        <v/>
      </c>
      <c r="Q80" s="51">
        <f>IF($A80="","",IFERROR(IF($M80="","",MAX(0,24*((IF($O80="",NOW(),$O80)-$M80)))),""))</f>
        <v/>
      </c>
      <c r="R80" s="51">
        <f>IF($A80="","",IFERROR($K80/'Settings &amp; Lists'!$B$4,""))</f>
        <v/>
      </c>
      <c r="S80" s="52">
        <f>IF($A80="","",IFERROR($R80*'Settings &amp; Lists'!$B$5,""))</f>
        <v/>
      </c>
      <c r="T80" s="52">
        <f>IF($A80="","",IFERROR($K80*VLOOKUP($E80,'Settings &amp; Lists'!$F$11:$G$110,2,FALSE),""))</f>
        <v/>
      </c>
      <c r="U80" s="52">
        <f>IF($A80="","",IFERROR($S80+$T80,""))</f>
        <v/>
      </c>
      <c r="V80" s="24" t="n"/>
      <c r="W80" s="30" t="n"/>
      <c r="X80" s="31" t="n"/>
    </row>
    <row r="81">
      <c r="A81" s="22" t="n"/>
      <c r="B81" s="49" t="n"/>
      <c r="C81" s="22" t="n"/>
      <c r="D81" s="22" t="n"/>
      <c r="E81" s="22" t="n"/>
      <c r="F81" s="22" t="n"/>
      <c r="G81" s="22" t="n"/>
      <c r="H81" s="24" t="n"/>
      <c r="I81" s="24" t="n"/>
      <c r="J81" s="24" t="n"/>
      <c r="K81" s="25">
        <f>IF($A81="","",IFERROR(VLOOKUP($C81&amp;"|"&amp;$D81,'Settings &amp; Lists'!$A$11:$D$110,4,FALSE),""))</f>
        <v/>
      </c>
      <c r="L81" s="50" t="n"/>
      <c r="M81" s="50" t="n"/>
      <c r="N81" s="50" t="n"/>
      <c r="O81" s="50" t="n"/>
      <c r="P81" s="27">
        <f>IF($A81="","",IF($L81="","Needs Time",IF($O81&lt;&gt;"","Departed",IF($M81&lt;&gt;"",IF(NOW()&gt;$N81,"At Dock - Late","At Dock"),IF(NOW()&gt;$L81+IFERROR('Settings &amp; Lists'!$B$7/24,0),"Late Arrival",IF(NOW()+TIME(2,0,0)&gt;=$L81,"Due Soon","Scheduled"))))))</f>
        <v/>
      </c>
      <c r="Q81" s="51">
        <f>IF($A81="","",IFERROR(IF($M81="","",MAX(0,24*((IF($O81="",NOW(),$O81)-$M81)))),""))</f>
        <v/>
      </c>
      <c r="R81" s="51">
        <f>IF($A81="","",IFERROR($K81/'Settings &amp; Lists'!$B$4,""))</f>
        <v/>
      </c>
      <c r="S81" s="52">
        <f>IF($A81="","",IFERROR($R81*'Settings &amp; Lists'!$B$5,""))</f>
        <v/>
      </c>
      <c r="T81" s="52">
        <f>IF($A81="","",IFERROR($K81*VLOOKUP($E81,'Settings &amp; Lists'!$F$11:$G$110,2,FALSE),""))</f>
        <v/>
      </c>
      <c r="U81" s="52">
        <f>IF($A81="","",IFERROR($S81+$T81,""))</f>
        <v/>
      </c>
      <c r="V81" s="24" t="n"/>
      <c r="W81" s="30" t="n"/>
      <c r="X81" s="31" t="n"/>
    </row>
    <row r="82">
      <c r="A82" s="22" t="n"/>
      <c r="B82" s="49" t="n"/>
      <c r="C82" s="22" t="n"/>
      <c r="D82" s="22" t="n"/>
      <c r="E82" s="22" t="n"/>
      <c r="F82" s="22" t="n"/>
      <c r="G82" s="22" t="n"/>
      <c r="H82" s="24" t="n"/>
      <c r="I82" s="24" t="n"/>
      <c r="J82" s="24" t="n"/>
      <c r="K82" s="25">
        <f>IF($A82="","",IFERROR(VLOOKUP($C82&amp;"|"&amp;$D82,'Settings &amp; Lists'!$A$11:$D$110,4,FALSE),""))</f>
        <v/>
      </c>
      <c r="L82" s="50" t="n"/>
      <c r="M82" s="50" t="n"/>
      <c r="N82" s="50" t="n"/>
      <c r="O82" s="50" t="n"/>
      <c r="P82" s="27">
        <f>IF($A82="","",IF($L82="","Needs Time",IF($O82&lt;&gt;"","Departed",IF($M82&lt;&gt;"",IF(NOW()&gt;$N82,"At Dock - Late","At Dock"),IF(NOW()&gt;$L82+IFERROR('Settings &amp; Lists'!$B$7/24,0),"Late Arrival",IF(NOW()+TIME(2,0,0)&gt;=$L82,"Due Soon","Scheduled"))))))</f>
        <v/>
      </c>
      <c r="Q82" s="51">
        <f>IF($A82="","",IFERROR(IF($M82="","",MAX(0,24*((IF($O82="",NOW(),$O82)-$M82)))),""))</f>
        <v/>
      </c>
      <c r="R82" s="51">
        <f>IF($A82="","",IFERROR($K82/'Settings &amp; Lists'!$B$4,""))</f>
        <v/>
      </c>
      <c r="S82" s="52">
        <f>IF($A82="","",IFERROR($R82*'Settings &amp; Lists'!$B$5,""))</f>
        <v/>
      </c>
      <c r="T82" s="52">
        <f>IF($A82="","",IFERROR($K82*VLOOKUP($E82,'Settings &amp; Lists'!$F$11:$G$110,2,FALSE),""))</f>
        <v/>
      </c>
      <c r="U82" s="52">
        <f>IF($A82="","",IFERROR($S82+$T82,""))</f>
        <v/>
      </c>
      <c r="V82" s="24" t="n"/>
      <c r="W82" s="30" t="n"/>
      <c r="X82" s="31" t="n"/>
    </row>
    <row r="83">
      <c r="A83" s="22" t="n"/>
      <c r="B83" s="49" t="n"/>
      <c r="C83" s="22" t="n"/>
      <c r="D83" s="22" t="n"/>
      <c r="E83" s="22" t="n"/>
      <c r="F83" s="22" t="n"/>
      <c r="G83" s="22" t="n"/>
      <c r="H83" s="24" t="n"/>
      <c r="I83" s="24" t="n"/>
      <c r="J83" s="24" t="n"/>
      <c r="K83" s="25">
        <f>IF($A83="","",IFERROR(VLOOKUP($C83&amp;"|"&amp;$D83,'Settings &amp; Lists'!$A$11:$D$110,4,FALSE),""))</f>
        <v/>
      </c>
      <c r="L83" s="50" t="n"/>
      <c r="M83" s="50" t="n"/>
      <c r="N83" s="50" t="n"/>
      <c r="O83" s="50" t="n"/>
      <c r="P83" s="27">
        <f>IF($A83="","",IF($L83="","Needs Time",IF($O83&lt;&gt;"","Departed",IF($M83&lt;&gt;"",IF(NOW()&gt;$N83,"At Dock - Late","At Dock"),IF(NOW()&gt;$L83+IFERROR('Settings &amp; Lists'!$B$7/24,0),"Late Arrival",IF(NOW()+TIME(2,0,0)&gt;=$L83,"Due Soon","Scheduled"))))))</f>
        <v/>
      </c>
      <c r="Q83" s="51">
        <f>IF($A83="","",IFERROR(IF($M83="","",MAX(0,24*((IF($O83="",NOW(),$O83)-$M83)))),""))</f>
        <v/>
      </c>
      <c r="R83" s="51">
        <f>IF($A83="","",IFERROR($K83/'Settings &amp; Lists'!$B$4,""))</f>
        <v/>
      </c>
      <c r="S83" s="52">
        <f>IF($A83="","",IFERROR($R83*'Settings &amp; Lists'!$B$5,""))</f>
        <v/>
      </c>
      <c r="T83" s="52">
        <f>IF($A83="","",IFERROR($K83*VLOOKUP($E83,'Settings &amp; Lists'!$F$11:$G$110,2,FALSE),""))</f>
        <v/>
      </c>
      <c r="U83" s="52">
        <f>IF($A83="","",IFERROR($S83+$T83,""))</f>
        <v/>
      </c>
      <c r="V83" s="24" t="n"/>
      <c r="W83" s="30" t="n"/>
      <c r="X83" s="31" t="n"/>
    </row>
    <row r="84">
      <c r="A84" s="22" t="n"/>
      <c r="B84" s="49" t="n"/>
      <c r="C84" s="22" t="n"/>
      <c r="D84" s="22" t="n"/>
      <c r="E84" s="22" t="n"/>
      <c r="F84" s="22" t="n"/>
      <c r="G84" s="22" t="n"/>
      <c r="H84" s="24" t="n"/>
      <c r="I84" s="24" t="n"/>
      <c r="J84" s="24" t="n"/>
      <c r="K84" s="25">
        <f>IF($A84="","",IFERROR(VLOOKUP($C84&amp;"|"&amp;$D84,'Settings &amp; Lists'!$A$11:$D$110,4,FALSE),""))</f>
        <v/>
      </c>
      <c r="L84" s="50" t="n"/>
      <c r="M84" s="50" t="n"/>
      <c r="N84" s="50" t="n"/>
      <c r="O84" s="50" t="n"/>
      <c r="P84" s="27">
        <f>IF($A84="","",IF($L84="","Needs Time",IF($O84&lt;&gt;"","Departed",IF($M84&lt;&gt;"",IF(NOW()&gt;$N84,"At Dock - Late","At Dock"),IF(NOW()&gt;$L84+IFERROR('Settings &amp; Lists'!$B$7/24,0),"Late Arrival",IF(NOW()+TIME(2,0,0)&gt;=$L84,"Due Soon","Scheduled"))))))</f>
        <v/>
      </c>
      <c r="Q84" s="51">
        <f>IF($A84="","",IFERROR(IF($M84="","",MAX(0,24*((IF($O84="",NOW(),$O84)-$M84)))),""))</f>
        <v/>
      </c>
      <c r="R84" s="51">
        <f>IF($A84="","",IFERROR($K84/'Settings &amp; Lists'!$B$4,""))</f>
        <v/>
      </c>
      <c r="S84" s="52">
        <f>IF($A84="","",IFERROR($R84*'Settings &amp; Lists'!$B$5,""))</f>
        <v/>
      </c>
      <c r="T84" s="52">
        <f>IF($A84="","",IFERROR($K84*VLOOKUP($E84,'Settings &amp; Lists'!$F$11:$G$110,2,FALSE),""))</f>
        <v/>
      </c>
      <c r="U84" s="52">
        <f>IF($A84="","",IFERROR($S84+$T84,""))</f>
        <v/>
      </c>
      <c r="V84" s="24" t="n"/>
      <c r="W84" s="30" t="n"/>
      <c r="X84" s="31" t="n"/>
    </row>
    <row r="85">
      <c r="A85" s="22" t="n"/>
      <c r="B85" s="49" t="n"/>
      <c r="C85" s="22" t="n"/>
      <c r="D85" s="22" t="n"/>
      <c r="E85" s="22" t="n"/>
      <c r="F85" s="22" t="n"/>
      <c r="G85" s="22" t="n"/>
      <c r="H85" s="24" t="n"/>
      <c r="I85" s="24" t="n"/>
      <c r="J85" s="24" t="n"/>
      <c r="K85" s="25">
        <f>IF($A85="","",IFERROR(VLOOKUP($C85&amp;"|"&amp;$D85,'Settings &amp; Lists'!$A$11:$D$110,4,FALSE),""))</f>
        <v/>
      </c>
      <c r="L85" s="50" t="n"/>
      <c r="M85" s="50" t="n"/>
      <c r="N85" s="50" t="n"/>
      <c r="O85" s="50" t="n"/>
      <c r="P85" s="27">
        <f>IF($A85="","",IF($L85="","Needs Time",IF($O85&lt;&gt;"","Departed",IF($M85&lt;&gt;"",IF(NOW()&gt;$N85,"At Dock - Late","At Dock"),IF(NOW()&gt;$L85+IFERROR('Settings &amp; Lists'!$B$7/24,0),"Late Arrival",IF(NOW()+TIME(2,0,0)&gt;=$L85,"Due Soon","Scheduled"))))))</f>
        <v/>
      </c>
      <c r="Q85" s="51">
        <f>IF($A85="","",IFERROR(IF($M85="","",MAX(0,24*((IF($O85="",NOW(),$O85)-$M85)))),""))</f>
        <v/>
      </c>
      <c r="R85" s="51">
        <f>IF($A85="","",IFERROR($K85/'Settings &amp; Lists'!$B$4,""))</f>
        <v/>
      </c>
      <c r="S85" s="52">
        <f>IF($A85="","",IFERROR($R85*'Settings &amp; Lists'!$B$5,""))</f>
        <v/>
      </c>
      <c r="T85" s="52">
        <f>IF($A85="","",IFERROR($K85*VLOOKUP($E85,'Settings &amp; Lists'!$F$11:$G$110,2,FALSE),""))</f>
        <v/>
      </c>
      <c r="U85" s="52">
        <f>IF($A85="","",IFERROR($S85+$T85,""))</f>
        <v/>
      </c>
      <c r="V85" s="24" t="n"/>
      <c r="W85" s="30" t="n"/>
      <c r="X85" s="31" t="n"/>
    </row>
    <row r="86">
      <c r="A86" s="22" t="n"/>
      <c r="B86" s="49" t="n"/>
      <c r="C86" s="22" t="n"/>
      <c r="D86" s="22" t="n"/>
      <c r="E86" s="22" t="n"/>
      <c r="F86" s="22" t="n"/>
      <c r="G86" s="22" t="n"/>
      <c r="H86" s="24" t="n"/>
      <c r="I86" s="24" t="n"/>
      <c r="J86" s="24" t="n"/>
      <c r="K86" s="25">
        <f>IF($A86="","",IFERROR(VLOOKUP($C86&amp;"|"&amp;$D86,'Settings &amp; Lists'!$A$11:$D$110,4,FALSE),""))</f>
        <v/>
      </c>
      <c r="L86" s="50" t="n"/>
      <c r="M86" s="50" t="n"/>
      <c r="N86" s="50" t="n"/>
      <c r="O86" s="50" t="n"/>
      <c r="P86" s="27">
        <f>IF($A86="","",IF($L86="","Needs Time",IF($O86&lt;&gt;"","Departed",IF($M86&lt;&gt;"",IF(NOW()&gt;$N86,"At Dock - Late","At Dock"),IF(NOW()&gt;$L86+IFERROR('Settings &amp; Lists'!$B$7/24,0),"Late Arrival",IF(NOW()+TIME(2,0,0)&gt;=$L86,"Due Soon","Scheduled"))))))</f>
        <v/>
      </c>
      <c r="Q86" s="51">
        <f>IF($A86="","",IFERROR(IF($M86="","",MAX(0,24*((IF($O86="",NOW(),$O86)-$M86)))),""))</f>
        <v/>
      </c>
      <c r="R86" s="51">
        <f>IF($A86="","",IFERROR($K86/'Settings &amp; Lists'!$B$4,""))</f>
        <v/>
      </c>
      <c r="S86" s="52">
        <f>IF($A86="","",IFERROR($R86*'Settings &amp; Lists'!$B$5,""))</f>
        <v/>
      </c>
      <c r="T86" s="52">
        <f>IF($A86="","",IFERROR($K86*VLOOKUP($E86,'Settings &amp; Lists'!$F$11:$G$110,2,FALSE),""))</f>
        <v/>
      </c>
      <c r="U86" s="52">
        <f>IF($A86="","",IFERROR($S86+$T86,""))</f>
        <v/>
      </c>
      <c r="V86" s="24" t="n"/>
      <c r="W86" s="30" t="n"/>
      <c r="X86" s="31" t="n"/>
    </row>
    <row r="87">
      <c r="A87" s="22" t="n"/>
      <c r="B87" s="49" t="n"/>
      <c r="C87" s="22" t="n"/>
      <c r="D87" s="22" t="n"/>
      <c r="E87" s="22" t="n"/>
      <c r="F87" s="22" t="n"/>
      <c r="G87" s="22" t="n"/>
      <c r="H87" s="24" t="n"/>
      <c r="I87" s="24" t="n"/>
      <c r="J87" s="24" t="n"/>
      <c r="K87" s="25">
        <f>IF($A87="","",IFERROR(VLOOKUP($C87&amp;"|"&amp;$D87,'Settings &amp; Lists'!$A$11:$D$110,4,FALSE),""))</f>
        <v/>
      </c>
      <c r="L87" s="50" t="n"/>
      <c r="M87" s="50" t="n"/>
      <c r="N87" s="50" t="n"/>
      <c r="O87" s="50" t="n"/>
      <c r="P87" s="27">
        <f>IF($A87="","",IF($L87="","Needs Time",IF($O87&lt;&gt;"","Departed",IF($M87&lt;&gt;"",IF(NOW()&gt;$N87,"At Dock - Late","At Dock"),IF(NOW()&gt;$L87+IFERROR('Settings &amp; Lists'!$B$7/24,0),"Late Arrival",IF(NOW()+TIME(2,0,0)&gt;=$L87,"Due Soon","Scheduled"))))))</f>
        <v/>
      </c>
      <c r="Q87" s="51">
        <f>IF($A87="","",IFERROR(IF($M87="","",MAX(0,24*((IF($O87="",NOW(),$O87)-$M87)))),""))</f>
        <v/>
      </c>
      <c r="R87" s="51">
        <f>IF($A87="","",IFERROR($K87/'Settings &amp; Lists'!$B$4,""))</f>
        <v/>
      </c>
      <c r="S87" s="52">
        <f>IF($A87="","",IFERROR($R87*'Settings &amp; Lists'!$B$5,""))</f>
        <v/>
      </c>
      <c r="T87" s="52">
        <f>IF($A87="","",IFERROR($K87*VLOOKUP($E87,'Settings &amp; Lists'!$F$11:$G$110,2,FALSE),""))</f>
        <v/>
      </c>
      <c r="U87" s="52">
        <f>IF($A87="","",IFERROR($S87+$T87,""))</f>
        <v/>
      </c>
      <c r="V87" s="24" t="n"/>
      <c r="W87" s="30" t="n"/>
      <c r="X87" s="31" t="n"/>
    </row>
    <row r="88">
      <c r="A88" s="22" t="n"/>
      <c r="B88" s="49" t="n"/>
      <c r="C88" s="22" t="n"/>
      <c r="D88" s="22" t="n"/>
      <c r="E88" s="22" t="n"/>
      <c r="F88" s="22" t="n"/>
      <c r="G88" s="22" t="n"/>
      <c r="H88" s="24" t="n"/>
      <c r="I88" s="24" t="n"/>
      <c r="J88" s="24" t="n"/>
      <c r="K88" s="25">
        <f>IF($A88="","",IFERROR(VLOOKUP($C88&amp;"|"&amp;$D88,'Settings &amp; Lists'!$A$11:$D$110,4,FALSE),""))</f>
        <v/>
      </c>
      <c r="L88" s="50" t="n"/>
      <c r="M88" s="50" t="n"/>
      <c r="N88" s="50" t="n"/>
      <c r="O88" s="50" t="n"/>
      <c r="P88" s="27">
        <f>IF($A88="","",IF($L88="","Needs Time",IF($O88&lt;&gt;"","Departed",IF($M88&lt;&gt;"",IF(NOW()&gt;$N88,"At Dock - Late","At Dock"),IF(NOW()&gt;$L88+IFERROR('Settings &amp; Lists'!$B$7/24,0),"Late Arrival",IF(NOW()+TIME(2,0,0)&gt;=$L88,"Due Soon","Scheduled"))))))</f>
        <v/>
      </c>
      <c r="Q88" s="51">
        <f>IF($A88="","",IFERROR(IF($M88="","",MAX(0,24*((IF($O88="",NOW(),$O88)-$M88)))),""))</f>
        <v/>
      </c>
      <c r="R88" s="51">
        <f>IF($A88="","",IFERROR($K88/'Settings &amp; Lists'!$B$4,""))</f>
        <v/>
      </c>
      <c r="S88" s="52">
        <f>IF($A88="","",IFERROR($R88*'Settings &amp; Lists'!$B$5,""))</f>
        <v/>
      </c>
      <c r="T88" s="52">
        <f>IF($A88="","",IFERROR($K88*VLOOKUP($E88,'Settings &amp; Lists'!$F$11:$G$110,2,FALSE),""))</f>
        <v/>
      </c>
      <c r="U88" s="52">
        <f>IF($A88="","",IFERROR($S88+$T88,""))</f>
        <v/>
      </c>
      <c r="V88" s="24" t="n"/>
      <c r="W88" s="30" t="n"/>
      <c r="X88" s="31" t="n"/>
    </row>
    <row r="89">
      <c r="A89" s="22" t="n"/>
      <c r="B89" s="49" t="n"/>
      <c r="C89" s="22" t="n"/>
      <c r="D89" s="22" t="n"/>
      <c r="E89" s="22" t="n"/>
      <c r="F89" s="22" t="n"/>
      <c r="G89" s="22" t="n"/>
      <c r="H89" s="24" t="n"/>
      <c r="I89" s="24" t="n"/>
      <c r="J89" s="24" t="n"/>
      <c r="K89" s="25">
        <f>IF($A89="","",IFERROR(VLOOKUP($C89&amp;"|"&amp;$D89,'Settings &amp; Lists'!$A$11:$D$110,4,FALSE),""))</f>
        <v/>
      </c>
      <c r="L89" s="50" t="n"/>
      <c r="M89" s="50" t="n"/>
      <c r="N89" s="50" t="n"/>
      <c r="O89" s="50" t="n"/>
      <c r="P89" s="27">
        <f>IF($A89="","",IF($L89="","Needs Time",IF($O89&lt;&gt;"","Departed",IF($M89&lt;&gt;"",IF(NOW()&gt;$N89,"At Dock - Late","At Dock"),IF(NOW()&gt;$L89+IFERROR('Settings &amp; Lists'!$B$7/24,0),"Late Arrival",IF(NOW()+TIME(2,0,0)&gt;=$L89,"Due Soon","Scheduled"))))))</f>
        <v/>
      </c>
      <c r="Q89" s="51">
        <f>IF($A89="","",IFERROR(IF($M89="","",MAX(0,24*((IF($O89="",NOW(),$O89)-$M89)))),""))</f>
        <v/>
      </c>
      <c r="R89" s="51">
        <f>IF($A89="","",IFERROR($K89/'Settings &amp; Lists'!$B$4,""))</f>
        <v/>
      </c>
      <c r="S89" s="52">
        <f>IF($A89="","",IFERROR($R89*'Settings &amp; Lists'!$B$5,""))</f>
        <v/>
      </c>
      <c r="T89" s="52">
        <f>IF($A89="","",IFERROR($K89*VLOOKUP($E89,'Settings &amp; Lists'!$F$11:$G$110,2,FALSE),""))</f>
        <v/>
      </c>
      <c r="U89" s="52">
        <f>IF($A89="","",IFERROR($S89+$T89,""))</f>
        <v/>
      </c>
      <c r="V89" s="24" t="n"/>
      <c r="W89" s="30" t="n"/>
      <c r="X89" s="31" t="n"/>
    </row>
    <row r="90">
      <c r="A90" s="22" t="n"/>
      <c r="B90" s="49" t="n"/>
      <c r="C90" s="22" t="n"/>
      <c r="D90" s="22" t="n"/>
      <c r="E90" s="22" t="n"/>
      <c r="F90" s="22" t="n"/>
      <c r="G90" s="22" t="n"/>
      <c r="H90" s="24" t="n"/>
      <c r="I90" s="24" t="n"/>
      <c r="J90" s="24" t="n"/>
      <c r="K90" s="25">
        <f>IF($A90="","",IFERROR(VLOOKUP($C90&amp;"|"&amp;$D90,'Settings &amp; Lists'!$A$11:$D$110,4,FALSE),""))</f>
        <v/>
      </c>
      <c r="L90" s="50" t="n"/>
      <c r="M90" s="50" t="n"/>
      <c r="N90" s="50" t="n"/>
      <c r="O90" s="50" t="n"/>
      <c r="P90" s="27">
        <f>IF($A90="","",IF($L90="","Needs Time",IF($O90&lt;&gt;"","Departed",IF($M90&lt;&gt;"",IF(NOW()&gt;$N90,"At Dock - Late","At Dock"),IF(NOW()&gt;$L90+IFERROR('Settings &amp; Lists'!$B$7/24,0),"Late Arrival",IF(NOW()+TIME(2,0,0)&gt;=$L90,"Due Soon","Scheduled"))))))</f>
        <v/>
      </c>
      <c r="Q90" s="51">
        <f>IF($A90="","",IFERROR(IF($M90="","",MAX(0,24*((IF($O90="",NOW(),$O90)-$M90)))),""))</f>
        <v/>
      </c>
      <c r="R90" s="51">
        <f>IF($A90="","",IFERROR($K90/'Settings &amp; Lists'!$B$4,""))</f>
        <v/>
      </c>
      <c r="S90" s="52">
        <f>IF($A90="","",IFERROR($R90*'Settings &amp; Lists'!$B$5,""))</f>
        <v/>
      </c>
      <c r="T90" s="52">
        <f>IF($A90="","",IFERROR($K90*VLOOKUP($E90,'Settings &amp; Lists'!$F$11:$G$110,2,FALSE),""))</f>
        <v/>
      </c>
      <c r="U90" s="52">
        <f>IF($A90="","",IFERROR($S90+$T90,""))</f>
        <v/>
      </c>
      <c r="V90" s="24" t="n"/>
      <c r="W90" s="30" t="n"/>
      <c r="X90" s="31" t="n"/>
    </row>
    <row r="91">
      <c r="A91" s="22" t="n"/>
      <c r="B91" s="49" t="n"/>
      <c r="C91" s="22" t="n"/>
      <c r="D91" s="22" t="n"/>
      <c r="E91" s="22" t="n"/>
      <c r="F91" s="22" t="n"/>
      <c r="G91" s="22" t="n"/>
      <c r="H91" s="24" t="n"/>
      <c r="I91" s="24" t="n"/>
      <c r="J91" s="24" t="n"/>
      <c r="K91" s="25">
        <f>IF($A91="","",IFERROR(VLOOKUP($C91&amp;"|"&amp;$D91,'Settings &amp; Lists'!$A$11:$D$110,4,FALSE),""))</f>
        <v/>
      </c>
      <c r="L91" s="50" t="n"/>
      <c r="M91" s="50" t="n"/>
      <c r="N91" s="50" t="n"/>
      <c r="O91" s="50" t="n"/>
      <c r="P91" s="27">
        <f>IF($A91="","",IF($L91="","Needs Time",IF($O91&lt;&gt;"","Departed",IF($M91&lt;&gt;"",IF(NOW()&gt;$N91,"At Dock - Late","At Dock"),IF(NOW()&gt;$L91+IFERROR('Settings &amp; Lists'!$B$7/24,0),"Late Arrival",IF(NOW()+TIME(2,0,0)&gt;=$L91,"Due Soon","Scheduled"))))))</f>
        <v/>
      </c>
      <c r="Q91" s="51">
        <f>IF($A91="","",IFERROR(IF($M91="","",MAX(0,24*((IF($O91="",NOW(),$O91)-$M91)))),""))</f>
        <v/>
      </c>
      <c r="R91" s="51">
        <f>IF($A91="","",IFERROR($K91/'Settings &amp; Lists'!$B$4,""))</f>
        <v/>
      </c>
      <c r="S91" s="52">
        <f>IF($A91="","",IFERROR($R91*'Settings &amp; Lists'!$B$5,""))</f>
        <v/>
      </c>
      <c r="T91" s="52">
        <f>IF($A91="","",IFERROR($K91*VLOOKUP($E91,'Settings &amp; Lists'!$F$11:$G$110,2,FALSE),""))</f>
        <v/>
      </c>
      <c r="U91" s="52">
        <f>IF($A91="","",IFERROR($S91+$T91,""))</f>
        <v/>
      </c>
      <c r="V91" s="24" t="n"/>
      <c r="W91" s="30" t="n"/>
      <c r="X91" s="31" t="n"/>
    </row>
    <row r="92">
      <c r="A92" s="22" t="n"/>
      <c r="B92" s="49" t="n"/>
      <c r="C92" s="22" t="n"/>
      <c r="D92" s="22" t="n"/>
      <c r="E92" s="22" t="n"/>
      <c r="F92" s="22" t="n"/>
      <c r="G92" s="22" t="n"/>
      <c r="H92" s="24" t="n"/>
      <c r="I92" s="24" t="n"/>
      <c r="J92" s="24" t="n"/>
      <c r="K92" s="25">
        <f>IF($A92="","",IFERROR(VLOOKUP($C92&amp;"|"&amp;$D92,'Settings &amp; Lists'!$A$11:$D$110,4,FALSE),""))</f>
        <v/>
      </c>
      <c r="L92" s="50" t="n"/>
      <c r="M92" s="50" t="n"/>
      <c r="N92" s="50" t="n"/>
      <c r="O92" s="50" t="n"/>
      <c r="P92" s="27">
        <f>IF($A92="","",IF($L92="","Needs Time",IF($O92&lt;&gt;"","Departed",IF($M92&lt;&gt;"",IF(NOW()&gt;$N92,"At Dock - Late","At Dock"),IF(NOW()&gt;$L92+IFERROR('Settings &amp; Lists'!$B$7/24,0),"Late Arrival",IF(NOW()+TIME(2,0,0)&gt;=$L92,"Due Soon","Scheduled"))))))</f>
        <v/>
      </c>
      <c r="Q92" s="51">
        <f>IF($A92="","",IFERROR(IF($M92="","",MAX(0,24*((IF($O92="",NOW(),$O92)-$M92)))),""))</f>
        <v/>
      </c>
      <c r="R92" s="51">
        <f>IF($A92="","",IFERROR($K92/'Settings &amp; Lists'!$B$4,""))</f>
        <v/>
      </c>
      <c r="S92" s="52">
        <f>IF($A92="","",IFERROR($R92*'Settings &amp; Lists'!$B$5,""))</f>
        <v/>
      </c>
      <c r="T92" s="52">
        <f>IF($A92="","",IFERROR($K92*VLOOKUP($E92,'Settings &amp; Lists'!$F$11:$G$110,2,FALSE),""))</f>
        <v/>
      </c>
      <c r="U92" s="52">
        <f>IF($A92="","",IFERROR($S92+$T92,""))</f>
        <v/>
      </c>
      <c r="V92" s="24" t="n"/>
      <c r="W92" s="30" t="n"/>
      <c r="X92" s="31" t="n"/>
    </row>
    <row r="93">
      <c r="A93" s="22" t="n"/>
      <c r="B93" s="49" t="n"/>
      <c r="C93" s="22" t="n"/>
      <c r="D93" s="22" t="n"/>
      <c r="E93" s="22" t="n"/>
      <c r="F93" s="22" t="n"/>
      <c r="G93" s="22" t="n"/>
      <c r="H93" s="24" t="n"/>
      <c r="I93" s="24" t="n"/>
      <c r="J93" s="24" t="n"/>
      <c r="K93" s="25">
        <f>IF($A93="","",IFERROR(VLOOKUP($C93&amp;"|"&amp;$D93,'Settings &amp; Lists'!$A$11:$D$110,4,FALSE),""))</f>
        <v/>
      </c>
      <c r="L93" s="50" t="n"/>
      <c r="M93" s="50" t="n"/>
      <c r="N93" s="50" t="n"/>
      <c r="O93" s="50" t="n"/>
      <c r="P93" s="27">
        <f>IF($A93="","",IF($L93="","Needs Time",IF($O93&lt;&gt;"","Departed",IF($M93&lt;&gt;"",IF(NOW()&gt;$N93,"At Dock - Late","At Dock"),IF(NOW()&gt;$L93+IFERROR('Settings &amp; Lists'!$B$7/24,0),"Late Arrival",IF(NOW()+TIME(2,0,0)&gt;=$L93,"Due Soon","Scheduled"))))))</f>
        <v/>
      </c>
      <c r="Q93" s="51">
        <f>IF($A93="","",IFERROR(IF($M93="","",MAX(0,24*((IF($O93="",NOW(),$O93)-$M93)))),""))</f>
        <v/>
      </c>
      <c r="R93" s="51">
        <f>IF($A93="","",IFERROR($K93/'Settings &amp; Lists'!$B$4,""))</f>
        <v/>
      </c>
      <c r="S93" s="52">
        <f>IF($A93="","",IFERROR($R93*'Settings &amp; Lists'!$B$5,""))</f>
        <v/>
      </c>
      <c r="T93" s="52">
        <f>IF($A93="","",IFERROR($K93*VLOOKUP($E93,'Settings &amp; Lists'!$F$11:$G$110,2,FALSE),""))</f>
        <v/>
      </c>
      <c r="U93" s="52">
        <f>IF($A93="","",IFERROR($S93+$T93,""))</f>
        <v/>
      </c>
      <c r="V93" s="24" t="n"/>
      <c r="W93" s="30" t="n"/>
      <c r="X93" s="31" t="n"/>
    </row>
    <row r="94">
      <c r="A94" s="22" t="n"/>
      <c r="B94" s="49" t="n"/>
      <c r="C94" s="22" t="n"/>
      <c r="D94" s="22" t="n"/>
      <c r="E94" s="22" t="n"/>
      <c r="F94" s="22" t="n"/>
      <c r="G94" s="22" t="n"/>
      <c r="H94" s="24" t="n"/>
      <c r="I94" s="24" t="n"/>
      <c r="J94" s="24" t="n"/>
      <c r="K94" s="25">
        <f>IF($A94="","",IFERROR(VLOOKUP($C94&amp;"|"&amp;$D94,'Settings &amp; Lists'!$A$11:$D$110,4,FALSE),""))</f>
        <v/>
      </c>
      <c r="L94" s="50" t="n"/>
      <c r="M94" s="50" t="n"/>
      <c r="N94" s="50" t="n"/>
      <c r="O94" s="50" t="n"/>
      <c r="P94" s="27">
        <f>IF($A94="","",IF($L94="","Needs Time",IF($O94&lt;&gt;"","Departed",IF($M94&lt;&gt;"",IF(NOW()&gt;$N94,"At Dock - Late","At Dock"),IF(NOW()&gt;$L94+IFERROR('Settings &amp; Lists'!$B$7/24,0),"Late Arrival",IF(NOW()+TIME(2,0,0)&gt;=$L94,"Due Soon","Scheduled"))))))</f>
        <v/>
      </c>
      <c r="Q94" s="51">
        <f>IF($A94="","",IFERROR(IF($M94="","",MAX(0,24*((IF($O94="",NOW(),$O94)-$M94)))),""))</f>
        <v/>
      </c>
      <c r="R94" s="51">
        <f>IF($A94="","",IFERROR($K94/'Settings &amp; Lists'!$B$4,""))</f>
        <v/>
      </c>
      <c r="S94" s="52">
        <f>IF($A94="","",IFERROR($R94*'Settings &amp; Lists'!$B$5,""))</f>
        <v/>
      </c>
      <c r="T94" s="52">
        <f>IF($A94="","",IFERROR($K94*VLOOKUP($E94,'Settings &amp; Lists'!$F$11:$G$110,2,FALSE),""))</f>
        <v/>
      </c>
      <c r="U94" s="52">
        <f>IF($A94="","",IFERROR($S94+$T94,""))</f>
        <v/>
      </c>
      <c r="V94" s="24" t="n"/>
      <c r="W94" s="30" t="n"/>
      <c r="X94" s="31" t="n"/>
    </row>
    <row r="95">
      <c r="A95" s="22" t="n"/>
      <c r="B95" s="49" t="n"/>
      <c r="C95" s="22" t="n"/>
      <c r="D95" s="22" t="n"/>
      <c r="E95" s="22" t="n"/>
      <c r="F95" s="22" t="n"/>
      <c r="G95" s="22" t="n"/>
      <c r="H95" s="24" t="n"/>
      <c r="I95" s="24" t="n"/>
      <c r="J95" s="24" t="n"/>
      <c r="K95" s="25">
        <f>IF($A95="","",IFERROR(VLOOKUP($C95&amp;"|"&amp;$D95,'Settings &amp; Lists'!$A$11:$D$110,4,FALSE),""))</f>
        <v/>
      </c>
      <c r="L95" s="50" t="n"/>
      <c r="M95" s="50" t="n"/>
      <c r="N95" s="50" t="n"/>
      <c r="O95" s="50" t="n"/>
      <c r="P95" s="27">
        <f>IF($A95="","",IF($L95="","Needs Time",IF($O95&lt;&gt;"","Departed",IF($M95&lt;&gt;"",IF(NOW()&gt;$N95,"At Dock - Late","At Dock"),IF(NOW()&gt;$L95+IFERROR('Settings &amp; Lists'!$B$7/24,0),"Late Arrival",IF(NOW()+TIME(2,0,0)&gt;=$L95,"Due Soon","Scheduled"))))))</f>
        <v/>
      </c>
      <c r="Q95" s="51">
        <f>IF($A95="","",IFERROR(IF($M95="","",MAX(0,24*((IF($O95="",NOW(),$O95)-$M95)))),""))</f>
        <v/>
      </c>
      <c r="R95" s="51">
        <f>IF($A95="","",IFERROR($K95/'Settings &amp; Lists'!$B$4,""))</f>
        <v/>
      </c>
      <c r="S95" s="52">
        <f>IF($A95="","",IFERROR($R95*'Settings &amp; Lists'!$B$5,""))</f>
        <v/>
      </c>
      <c r="T95" s="52">
        <f>IF($A95="","",IFERROR($K95*VLOOKUP($E95,'Settings &amp; Lists'!$F$11:$G$110,2,FALSE),""))</f>
        <v/>
      </c>
      <c r="U95" s="52">
        <f>IF($A95="","",IFERROR($S95+$T95,""))</f>
        <v/>
      </c>
      <c r="V95" s="24" t="n"/>
      <c r="W95" s="30" t="n"/>
      <c r="X95" s="31" t="n"/>
    </row>
    <row r="96">
      <c r="A96" s="22" t="n"/>
      <c r="B96" s="49" t="n"/>
      <c r="C96" s="22" t="n"/>
      <c r="D96" s="22" t="n"/>
      <c r="E96" s="22" t="n"/>
      <c r="F96" s="22" t="n"/>
      <c r="G96" s="22" t="n"/>
      <c r="H96" s="24" t="n"/>
      <c r="I96" s="24" t="n"/>
      <c r="J96" s="24" t="n"/>
      <c r="K96" s="25">
        <f>IF($A96="","",IFERROR(VLOOKUP($C96&amp;"|"&amp;$D96,'Settings &amp; Lists'!$A$11:$D$110,4,FALSE),""))</f>
        <v/>
      </c>
      <c r="L96" s="50" t="n"/>
      <c r="M96" s="50" t="n"/>
      <c r="N96" s="50" t="n"/>
      <c r="O96" s="50" t="n"/>
      <c r="P96" s="27">
        <f>IF($A96="","",IF($L96="","Needs Time",IF($O96&lt;&gt;"","Departed",IF($M96&lt;&gt;"",IF(NOW()&gt;$N96,"At Dock - Late","At Dock"),IF(NOW()&gt;$L96+IFERROR('Settings &amp; Lists'!$B$7/24,0),"Late Arrival",IF(NOW()+TIME(2,0,0)&gt;=$L96,"Due Soon","Scheduled"))))))</f>
        <v/>
      </c>
      <c r="Q96" s="51">
        <f>IF($A96="","",IFERROR(IF($M96="","",MAX(0,24*((IF($O96="",NOW(),$O96)-$M96)))),""))</f>
        <v/>
      </c>
      <c r="R96" s="51">
        <f>IF($A96="","",IFERROR($K96/'Settings &amp; Lists'!$B$4,""))</f>
        <v/>
      </c>
      <c r="S96" s="52">
        <f>IF($A96="","",IFERROR($R96*'Settings &amp; Lists'!$B$5,""))</f>
        <v/>
      </c>
      <c r="T96" s="52">
        <f>IF($A96="","",IFERROR($K96*VLOOKUP($E96,'Settings &amp; Lists'!$F$11:$G$110,2,FALSE),""))</f>
        <v/>
      </c>
      <c r="U96" s="52">
        <f>IF($A96="","",IFERROR($S96+$T96,""))</f>
        <v/>
      </c>
      <c r="V96" s="24" t="n"/>
      <c r="W96" s="30" t="n"/>
      <c r="X96" s="31" t="n"/>
    </row>
    <row r="97">
      <c r="A97" s="22" t="n"/>
      <c r="B97" s="49" t="n"/>
      <c r="C97" s="22" t="n"/>
      <c r="D97" s="22" t="n"/>
      <c r="E97" s="22" t="n"/>
      <c r="F97" s="22" t="n"/>
      <c r="G97" s="22" t="n"/>
      <c r="H97" s="24" t="n"/>
      <c r="I97" s="24" t="n"/>
      <c r="J97" s="24" t="n"/>
      <c r="K97" s="25">
        <f>IF($A97="","",IFERROR(VLOOKUP($C97&amp;"|"&amp;$D97,'Settings &amp; Lists'!$A$11:$D$110,4,FALSE),""))</f>
        <v/>
      </c>
      <c r="L97" s="50" t="n"/>
      <c r="M97" s="50" t="n"/>
      <c r="N97" s="50" t="n"/>
      <c r="O97" s="50" t="n"/>
      <c r="P97" s="27">
        <f>IF($A97="","",IF($L97="","Needs Time",IF($O97&lt;&gt;"","Departed",IF($M97&lt;&gt;"",IF(NOW()&gt;$N97,"At Dock - Late","At Dock"),IF(NOW()&gt;$L97+IFERROR('Settings &amp; Lists'!$B$7/24,0),"Late Arrival",IF(NOW()+TIME(2,0,0)&gt;=$L97,"Due Soon","Scheduled"))))))</f>
        <v/>
      </c>
      <c r="Q97" s="51">
        <f>IF($A97="","",IFERROR(IF($M97="","",MAX(0,24*((IF($O97="",NOW(),$O97)-$M97)))),""))</f>
        <v/>
      </c>
      <c r="R97" s="51">
        <f>IF($A97="","",IFERROR($K97/'Settings &amp; Lists'!$B$4,""))</f>
        <v/>
      </c>
      <c r="S97" s="52">
        <f>IF($A97="","",IFERROR($R97*'Settings &amp; Lists'!$B$5,""))</f>
        <v/>
      </c>
      <c r="T97" s="52">
        <f>IF($A97="","",IFERROR($K97*VLOOKUP($E97,'Settings &amp; Lists'!$F$11:$G$110,2,FALSE),""))</f>
        <v/>
      </c>
      <c r="U97" s="52">
        <f>IF($A97="","",IFERROR($S97+$T97,""))</f>
        <v/>
      </c>
      <c r="V97" s="24" t="n"/>
      <c r="W97" s="30" t="n"/>
      <c r="X97" s="31" t="n"/>
    </row>
    <row r="98">
      <c r="A98" s="22" t="n"/>
      <c r="B98" s="49" t="n"/>
      <c r="C98" s="22" t="n"/>
      <c r="D98" s="22" t="n"/>
      <c r="E98" s="22" t="n"/>
      <c r="F98" s="22" t="n"/>
      <c r="G98" s="22" t="n"/>
      <c r="H98" s="24" t="n"/>
      <c r="I98" s="24" t="n"/>
      <c r="J98" s="24" t="n"/>
      <c r="K98" s="25">
        <f>IF($A98="","",IFERROR(VLOOKUP($C98&amp;"|"&amp;$D98,'Settings &amp; Lists'!$A$11:$D$110,4,FALSE),""))</f>
        <v/>
      </c>
      <c r="L98" s="50" t="n"/>
      <c r="M98" s="50" t="n"/>
      <c r="N98" s="50" t="n"/>
      <c r="O98" s="50" t="n"/>
      <c r="P98" s="27">
        <f>IF($A98="","",IF($L98="","Needs Time",IF($O98&lt;&gt;"","Departed",IF($M98&lt;&gt;"",IF(NOW()&gt;$N98,"At Dock - Late","At Dock"),IF(NOW()&gt;$L98+IFERROR('Settings &amp; Lists'!$B$7/24,0),"Late Arrival",IF(NOW()+TIME(2,0,0)&gt;=$L98,"Due Soon","Scheduled"))))))</f>
        <v/>
      </c>
      <c r="Q98" s="51">
        <f>IF($A98="","",IFERROR(IF($M98="","",MAX(0,24*((IF($O98="",NOW(),$O98)-$M98)))),""))</f>
        <v/>
      </c>
      <c r="R98" s="51">
        <f>IF($A98="","",IFERROR($K98/'Settings &amp; Lists'!$B$4,""))</f>
        <v/>
      </c>
      <c r="S98" s="52">
        <f>IF($A98="","",IFERROR($R98*'Settings &amp; Lists'!$B$5,""))</f>
        <v/>
      </c>
      <c r="T98" s="52">
        <f>IF($A98="","",IFERROR($K98*VLOOKUP($E98,'Settings &amp; Lists'!$F$11:$G$110,2,FALSE),""))</f>
        <v/>
      </c>
      <c r="U98" s="52">
        <f>IF($A98="","",IFERROR($S98+$T98,""))</f>
        <v/>
      </c>
      <c r="V98" s="24" t="n"/>
      <c r="W98" s="30" t="n"/>
      <c r="X98" s="31" t="n"/>
    </row>
    <row r="99">
      <c r="A99" s="22" t="n"/>
      <c r="B99" s="49" t="n"/>
      <c r="C99" s="22" t="n"/>
      <c r="D99" s="22" t="n"/>
      <c r="E99" s="22" t="n"/>
      <c r="F99" s="22" t="n"/>
      <c r="G99" s="22" t="n"/>
      <c r="H99" s="24" t="n"/>
      <c r="I99" s="24" t="n"/>
      <c r="J99" s="24" t="n"/>
      <c r="K99" s="25">
        <f>IF($A99="","",IFERROR(VLOOKUP($C99&amp;"|"&amp;$D99,'Settings &amp; Lists'!$A$11:$D$110,4,FALSE),""))</f>
        <v/>
      </c>
      <c r="L99" s="50" t="n"/>
      <c r="M99" s="50" t="n"/>
      <c r="N99" s="50" t="n"/>
      <c r="O99" s="50" t="n"/>
      <c r="P99" s="27">
        <f>IF($A99="","",IF($L99="","Needs Time",IF($O99&lt;&gt;"","Departed",IF($M99&lt;&gt;"",IF(NOW()&gt;$N99,"At Dock - Late","At Dock"),IF(NOW()&gt;$L99+IFERROR('Settings &amp; Lists'!$B$7/24,0),"Late Arrival",IF(NOW()+TIME(2,0,0)&gt;=$L99,"Due Soon","Scheduled"))))))</f>
        <v/>
      </c>
      <c r="Q99" s="51">
        <f>IF($A99="","",IFERROR(IF($M99="","",MAX(0,24*((IF($O99="",NOW(),$O99)-$M99)))),""))</f>
        <v/>
      </c>
      <c r="R99" s="51">
        <f>IF($A99="","",IFERROR($K99/'Settings &amp; Lists'!$B$4,""))</f>
        <v/>
      </c>
      <c r="S99" s="52">
        <f>IF($A99="","",IFERROR($R99*'Settings &amp; Lists'!$B$5,""))</f>
        <v/>
      </c>
      <c r="T99" s="52">
        <f>IF($A99="","",IFERROR($K99*VLOOKUP($E99,'Settings &amp; Lists'!$F$11:$G$110,2,FALSE),""))</f>
        <v/>
      </c>
      <c r="U99" s="52">
        <f>IF($A99="","",IFERROR($S99+$T99,""))</f>
        <v/>
      </c>
      <c r="V99" s="24" t="n"/>
      <c r="W99" s="30" t="n"/>
      <c r="X99" s="31" t="n"/>
    </row>
    <row r="100">
      <c r="A100" s="22" t="n"/>
      <c r="B100" s="49" t="n"/>
      <c r="C100" s="22" t="n"/>
      <c r="D100" s="22" t="n"/>
      <c r="E100" s="22" t="n"/>
      <c r="F100" s="22" t="n"/>
      <c r="G100" s="22" t="n"/>
      <c r="H100" s="24" t="n"/>
      <c r="I100" s="24" t="n"/>
      <c r="J100" s="24" t="n"/>
      <c r="K100" s="25">
        <f>IF($A100="","",IFERROR(VLOOKUP($C100&amp;"|"&amp;$D100,'Settings &amp; Lists'!$A$11:$D$110,4,FALSE),""))</f>
        <v/>
      </c>
      <c r="L100" s="50" t="n"/>
      <c r="M100" s="50" t="n"/>
      <c r="N100" s="50" t="n"/>
      <c r="O100" s="50" t="n"/>
      <c r="P100" s="27">
        <f>IF($A100="","",IF($L100="","Needs Time",IF($O100&lt;&gt;"","Departed",IF($M100&lt;&gt;"",IF(NOW()&gt;$N100,"At Dock - Late","At Dock"),IF(NOW()&gt;$L100+IFERROR('Settings &amp; Lists'!$B$7/24,0),"Late Arrival",IF(NOW()+TIME(2,0,0)&gt;=$L100,"Due Soon","Scheduled"))))))</f>
        <v/>
      </c>
      <c r="Q100" s="51">
        <f>IF($A100="","",IFERROR(IF($M100="","",MAX(0,24*((IF($O100="",NOW(),$O100)-$M100)))),""))</f>
        <v/>
      </c>
      <c r="R100" s="51">
        <f>IF($A100="","",IFERROR($K100/'Settings &amp; Lists'!$B$4,""))</f>
        <v/>
      </c>
      <c r="S100" s="52">
        <f>IF($A100="","",IFERROR($R100*'Settings &amp; Lists'!$B$5,""))</f>
        <v/>
      </c>
      <c r="T100" s="52">
        <f>IF($A100="","",IFERROR($K100*VLOOKUP($E100,'Settings &amp; Lists'!$F$11:$G$110,2,FALSE),""))</f>
        <v/>
      </c>
      <c r="U100" s="52">
        <f>IF($A100="","",IFERROR($S100+$T100,""))</f>
        <v/>
      </c>
      <c r="V100" s="24" t="n"/>
      <c r="W100" s="30" t="n"/>
      <c r="X100" s="31" t="n"/>
    </row>
    <row r="101">
      <c r="A101" s="22" t="n"/>
      <c r="B101" s="49" t="n"/>
      <c r="C101" s="22" t="n"/>
      <c r="D101" s="22" t="n"/>
      <c r="E101" s="22" t="n"/>
      <c r="F101" s="22" t="n"/>
      <c r="G101" s="22" t="n"/>
      <c r="H101" s="24" t="n"/>
      <c r="I101" s="24" t="n"/>
      <c r="J101" s="24" t="n"/>
      <c r="K101" s="25">
        <f>IF($A101="","",IFERROR(VLOOKUP($C101&amp;"|"&amp;$D101,'Settings &amp; Lists'!$A$11:$D$110,4,FALSE),""))</f>
        <v/>
      </c>
      <c r="L101" s="50" t="n"/>
      <c r="M101" s="50" t="n"/>
      <c r="N101" s="50" t="n"/>
      <c r="O101" s="50" t="n"/>
      <c r="P101" s="27">
        <f>IF($A101="","",IF($L101="","Needs Time",IF($O101&lt;&gt;"","Departed",IF($M101&lt;&gt;"",IF(NOW()&gt;$N101,"At Dock - Late","At Dock"),IF(NOW()&gt;$L101+IFERROR('Settings &amp; Lists'!$B$7/24,0),"Late Arrival",IF(NOW()+TIME(2,0,0)&gt;=$L101,"Due Soon","Scheduled"))))))</f>
        <v/>
      </c>
      <c r="Q101" s="51">
        <f>IF($A101="","",IFERROR(IF($M101="","",MAX(0,24*((IF($O101="",NOW(),$O101)-$M101)))),""))</f>
        <v/>
      </c>
      <c r="R101" s="51">
        <f>IF($A101="","",IFERROR($K101/'Settings &amp; Lists'!$B$4,""))</f>
        <v/>
      </c>
      <c r="S101" s="52">
        <f>IF($A101="","",IFERROR($R101*'Settings &amp; Lists'!$B$5,""))</f>
        <v/>
      </c>
      <c r="T101" s="52">
        <f>IF($A101="","",IFERROR($K101*VLOOKUP($E101,'Settings &amp; Lists'!$F$11:$G$110,2,FALSE),""))</f>
        <v/>
      </c>
      <c r="U101" s="52">
        <f>IF($A101="","",IFERROR($S101+$T101,""))</f>
        <v/>
      </c>
      <c r="V101" s="24" t="n"/>
      <c r="W101" s="30" t="n"/>
      <c r="X101" s="31" t="n"/>
    </row>
    <row r="102">
      <c r="A102" s="22" t="n"/>
      <c r="B102" s="49" t="n"/>
      <c r="C102" s="22" t="n"/>
      <c r="D102" s="22" t="n"/>
      <c r="E102" s="22" t="n"/>
      <c r="F102" s="22" t="n"/>
      <c r="G102" s="22" t="n"/>
      <c r="H102" s="24" t="n"/>
      <c r="I102" s="24" t="n"/>
      <c r="J102" s="24" t="n"/>
      <c r="K102" s="25">
        <f>IF($A102="","",IFERROR(VLOOKUP($C102&amp;"|"&amp;$D102,'Settings &amp; Lists'!$A$11:$D$110,4,FALSE),""))</f>
        <v/>
      </c>
      <c r="L102" s="50" t="n"/>
      <c r="M102" s="50" t="n"/>
      <c r="N102" s="50" t="n"/>
      <c r="O102" s="50" t="n"/>
      <c r="P102" s="27">
        <f>IF($A102="","",IF($L102="","Needs Time",IF($O102&lt;&gt;"","Departed",IF($M102&lt;&gt;"",IF(NOW()&gt;$N102,"At Dock - Late","At Dock"),IF(NOW()&gt;$L102+IFERROR('Settings &amp; Lists'!$B$7/24,0),"Late Arrival",IF(NOW()+TIME(2,0,0)&gt;=$L102,"Due Soon","Scheduled"))))))</f>
        <v/>
      </c>
      <c r="Q102" s="51">
        <f>IF($A102="","",IFERROR(IF($M102="","",MAX(0,24*((IF($O102="",NOW(),$O102)-$M102)))),""))</f>
        <v/>
      </c>
      <c r="R102" s="51">
        <f>IF($A102="","",IFERROR($K102/'Settings &amp; Lists'!$B$4,""))</f>
        <v/>
      </c>
      <c r="S102" s="52">
        <f>IF($A102="","",IFERROR($R102*'Settings &amp; Lists'!$B$5,""))</f>
        <v/>
      </c>
      <c r="T102" s="52">
        <f>IF($A102="","",IFERROR($K102*VLOOKUP($E102,'Settings &amp; Lists'!$F$11:$G$110,2,FALSE),""))</f>
        <v/>
      </c>
      <c r="U102" s="52">
        <f>IF($A102="","",IFERROR($S102+$T102,""))</f>
        <v/>
      </c>
      <c r="V102" s="24" t="n"/>
      <c r="W102" s="30" t="n"/>
      <c r="X102" s="31" t="n"/>
    </row>
    <row r="103">
      <c r="A103" s="22" t="n"/>
      <c r="B103" s="49" t="n"/>
      <c r="C103" s="22" t="n"/>
      <c r="D103" s="22" t="n"/>
      <c r="E103" s="22" t="n"/>
      <c r="F103" s="22" t="n"/>
      <c r="G103" s="22" t="n"/>
      <c r="H103" s="24" t="n"/>
      <c r="I103" s="24" t="n"/>
      <c r="J103" s="24" t="n"/>
      <c r="K103" s="25">
        <f>IF($A103="","",IFERROR(VLOOKUP($C103&amp;"|"&amp;$D103,'Settings &amp; Lists'!$A$11:$D$110,4,FALSE),""))</f>
        <v/>
      </c>
      <c r="L103" s="50" t="n"/>
      <c r="M103" s="50" t="n"/>
      <c r="N103" s="50" t="n"/>
      <c r="O103" s="50" t="n"/>
      <c r="P103" s="27">
        <f>IF($A103="","",IF($L103="","Needs Time",IF($O103&lt;&gt;"","Departed",IF($M103&lt;&gt;"",IF(NOW()&gt;$N103,"At Dock - Late","At Dock"),IF(NOW()&gt;$L103+IFERROR('Settings &amp; Lists'!$B$7/24,0),"Late Arrival",IF(NOW()+TIME(2,0,0)&gt;=$L103,"Due Soon","Scheduled"))))))</f>
        <v/>
      </c>
      <c r="Q103" s="51">
        <f>IF($A103="","",IFERROR(IF($M103="","",MAX(0,24*((IF($O103="",NOW(),$O103)-$M103)))),""))</f>
        <v/>
      </c>
      <c r="R103" s="51">
        <f>IF($A103="","",IFERROR($K103/'Settings &amp; Lists'!$B$4,""))</f>
        <v/>
      </c>
      <c r="S103" s="52">
        <f>IF($A103="","",IFERROR($R103*'Settings &amp; Lists'!$B$5,""))</f>
        <v/>
      </c>
      <c r="T103" s="52">
        <f>IF($A103="","",IFERROR($K103*VLOOKUP($E103,'Settings &amp; Lists'!$F$11:$G$110,2,FALSE),""))</f>
        <v/>
      </c>
      <c r="U103" s="52">
        <f>IF($A103="","",IFERROR($S103+$T103,""))</f>
        <v/>
      </c>
      <c r="V103" s="24" t="n"/>
      <c r="W103" s="30" t="n"/>
      <c r="X103" s="31" t="n"/>
    </row>
    <row r="104">
      <c r="A104" s="22" t="n"/>
      <c r="B104" s="49" t="n"/>
      <c r="C104" s="22" t="n"/>
      <c r="D104" s="22" t="n"/>
      <c r="E104" s="22" t="n"/>
      <c r="F104" s="22" t="n"/>
      <c r="G104" s="22" t="n"/>
      <c r="H104" s="24" t="n"/>
      <c r="I104" s="24" t="n"/>
      <c r="J104" s="24" t="n"/>
      <c r="K104" s="25">
        <f>IF($A104="","",IFERROR(VLOOKUP($C104&amp;"|"&amp;$D104,'Settings &amp; Lists'!$A$11:$D$110,4,FALSE),""))</f>
        <v/>
      </c>
      <c r="L104" s="50" t="n"/>
      <c r="M104" s="50" t="n"/>
      <c r="N104" s="50" t="n"/>
      <c r="O104" s="50" t="n"/>
      <c r="P104" s="27">
        <f>IF($A104="","",IF($L104="","Needs Time",IF($O104&lt;&gt;"","Departed",IF($M104&lt;&gt;"",IF(NOW()&gt;$N104,"At Dock - Late","At Dock"),IF(NOW()&gt;$L104+IFERROR('Settings &amp; Lists'!$B$7/24,0),"Late Arrival",IF(NOW()+TIME(2,0,0)&gt;=$L104,"Due Soon","Scheduled"))))))</f>
        <v/>
      </c>
      <c r="Q104" s="51">
        <f>IF($A104="","",IFERROR(IF($M104="","",MAX(0,24*((IF($O104="",NOW(),$O104)-$M104)))),""))</f>
        <v/>
      </c>
      <c r="R104" s="51">
        <f>IF($A104="","",IFERROR($K104/'Settings &amp; Lists'!$B$4,""))</f>
        <v/>
      </c>
      <c r="S104" s="52">
        <f>IF($A104="","",IFERROR($R104*'Settings &amp; Lists'!$B$5,""))</f>
        <v/>
      </c>
      <c r="T104" s="52">
        <f>IF($A104="","",IFERROR($K104*VLOOKUP($E104,'Settings &amp; Lists'!$F$11:$G$110,2,FALSE),""))</f>
        <v/>
      </c>
      <c r="U104" s="52">
        <f>IF($A104="","",IFERROR($S104+$T104,""))</f>
        <v/>
      </c>
      <c r="V104" s="24" t="n"/>
      <c r="W104" s="30" t="n"/>
      <c r="X104" s="31" t="n"/>
    </row>
    <row r="105">
      <c r="A105" s="22" t="n"/>
      <c r="B105" s="49" t="n"/>
      <c r="C105" s="22" t="n"/>
      <c r="D105" s="22" t="n"/>
      <c r="E105" s="22" t="n"/>
      <c r="F105" s="22" t="n"/>
      <c r="G105" s="22" t="n"/>
      <c r="H105" s="24" t="n"/>
      <c r="I105" s="24" t="n"/>
      <c r="J105" s="24" t="n"/>
      <c r="K105" s="25">
        <f>IF($A105="","",IFERROR(VLOOKUP($C105&amp;"|"&amp;$D105,'Settings &amp; Lists'!$A$11:$D$110,4,FALSE),""))</f>
        <v/>
      </c>
      <c r="L105" s="50" t="n"/>
      <c r="M105" s="50" t="n"/>
      <c r="N105" s="50" t="n"/>
      <c r="O105" s="50" t="n"/>
      <c r="P105" s="27">
        <f>IF($A105="","",IF($L105="","Needs Time",IF($O105&lt;&gt;"","Departed",IF($M105&lt;&gt;"",IF(NOW()&gt;$N105,"At Dock - Late","At Dock"),IF(NOW()&gt;$L105+IFERROR('Settings &amp; Lists'!$B$7/24,0),"Late Arrival",IF(NOW()+TIME(2,0,0)&gt;=$L105,"Due Soon","Scheduled"))))))</f>
        <v/>
      </c>
      <c r="Q105" s="51">
        <f>IF($A105="","",IFERROR(IF($M105="","",MAX(0,24*((IF($O105="",NOW(),$O105)-$M105)))),""))</f>
        <v/>
      </c>
      <c r="R105" s="51">
        <f>IF($A105="","",IFERROR($K105/'Settings &amp; Lists'!$B$4,""))</f>
        <v/>
      </c>
      <c r="S105" s="52">
        <f>IF($A105="","",IFERROR($R105*'Settings &amp; Lists'!$B$5,""))</f>
        <v/>
      </c>
      <c r="T105" s="52">
        <f>IF($A105="","",IFERROR($K105*VLOOKUP($E105,'Settings &amp; Lists'!$F$11:$G$110,2,FALSE),""))</f>
        <v/>
      </c>
      <c r="U105" s="52">
        <f>IF($A105="","",IFERROR($S105+$T105,""))</f>
        <v/>
      </c>
      <c r="V105" s="24" t="n"/>
      <c r="W105" s="30" t="n"/>
      <c r="X105" s="31" t="n"/>
    </row>
  </sheetData>
  <autoFilter ref="A5:X105"/>
  <mergeCells count="1">
    <mergeCell ref="A1:X1"/>
  </mergeCells>
  <conditionalFormatting sqref="A6:A105">
    <cfRule type="expression" priority="1" dxfId="0">
      <formula>AND($A6&lt;&gt;"",COUNTIF($A$6:$A$105,$A6)&gt;1)</formula>
    </cfRule>
  </conditionalFormatting>
  <conditionalFormatting sqref="K6:K105">
    <cfRule type="expression" priority="2" dxfId="0">
      <formula>AND($A6&lt;&gt;"",$C6&lt;&gt;"",$D6&lt;&gt;"",$K6="")</formula>
    </cfRule>
  </conditionalFormatting>
  <conditionalFormatting sqref="P6:P105">
    <cfRule type="expression" priority="3" dxfId="0">
      <formula>OR($P6="Late Arrival",$P6="At Dock - Late")</formula>
    </cfRule>
    <cfRule type="expression" priority="4" dxfId="1">
      <formula>OR($P6="Due Soon",$P6="At Dock")</formula>
    </cfRule>
    <cfRule type="expression" priority="5" dxfId="2">
      <formula>$P6="Departed"</formula>
    </cfRule>
  </conditionalFormatting>
  <conditionalFormatting sqref="Q6:Q105">
    <cfRule type="expression" priority="6" dxfId="0">
      <formula>AND($A6&lt;&gt;"",$Q6&gt;'Settings &amp; Lists'!$B$6)</formula>
    </cfRule>
  </conditionalFormatting>
  <conditionalFormatting sqref="W6:W105">
    <cfRule type="expression" priority="7" dxfId="0">
      <formula>$W6="Urgent"</formula>
    </cfRule>
  </conditionalFormatting>
  <dataValidations count="11">
    <dataValidation sqref="A6:A105" showDropDown="0" showInputMessage="0" showErrorMessage="0" allowBlank="0" errorTitle="Invalid transfer ID" error="Enter a unique transfer ID with no more than 20 characters." promptTitle="Transfer ID" prompt="Use a unique transfer identifier." type="custom">
      <formula1>OR(A6="",AND(LEN(A6)&lt;=20,COUNTIF($A$6:$A$105,A6)=1))</formula1>
    </dataValidation>
    <dataValidation sqref="B6:B105" showDropDown="0" showInputMessage="0" showErrorMessage="0" allowBlank="0" errorTitle="Invalid ship date" error="Enter a date from 30 days ago through one year ahead." type="date" operator="between">
      <formula1>TODAY()-30</formula1>
      <formula2>TODAY()+365</formula2>
    </dataValidation>
    <dataValidation sqref="C6:D105" showDropDown="0" showInputMessage="0" showErrorMessage="0" allowBlank="0" errorTitle="Unknown dock" error="Select a dock from the editable location list." type="list">
      <formula1>INDIRECT("'Settings &amp; Lists'!$K$11:$K$110")</formula1>
    </dataValidation>
    <dataValidation sqref="E6:E105" showDropDown="0" showInputMessage="0" showErrorMessage="0" allowBlank="0" errorTitle="Unknown carrier" error="Select a carrier from the editable carrier list." type="list">
      <formula1>INDIRECT("'Settings &amp; Lists'!$F$11:$F$110")</formula1>
    </dataValidation>
    <dataValidation sqref="G6:G105" showDropDown="0" showInputMessage="0" showErrorMessage="0" allowBlank="0" errorTitle="Invalid load type" error="Select Inbound, Outbound, or Transfer." type="list">
      <formula1>"Inbound,Outbound,Transfer"</formula1>
    </dataValidation>
    <dataValidation sqref="H6:H105" showDropDown="0" showInputMessage="0" showErrorMessage="0" allowBlank="0" errorTitle="Invalid pallet count" error="Enter 0 to 60 pallets." type="whole" operator="between">
      <formula1>0</formula1>
      <formula2>60</formula2>
    </dataValidation>
    <dataValidation sqref="I6:I105" showDropDown="0" showInputMessage="0" showErrorMessage="0" allowBlank="0" errorTitle="Invalid case count" error="Enter 0 to 5,000 cases." type="whole" operator="between">
      <formula1>0</formula1>
      <formula2>5000</formula2>
    </dataValidation>
    <dataValidation sqref="J6:J105" showDropDown="0" showInputMessage="0" showErrorMessage="0" allowBlank="0" errorTitle="Invalid weight" error="Enter a nonnegative weight of no more than 50,000 pounds." type="decimal" operator="between">
      <formula1>0</formula1>
      <formula2>50000</formula2>
    </dataValidation>
    <dataValidation sqref="L6:O105" showDropDown="0" showInputMessage="0" showErrorMessage="0" allowBlank="0" errorTitle="Invalid date and time" error="Enter a date and time within the planning window." type="custom">
      <formula1>OR(L6="",AND(L6&gt;=TODAY()-30,L6&lt;=TODAY()+365))</formula1>
    </dataValidation>
    <dataValidation sqref="V6:V105" showDropDown="0" showInputMessage="0" showErrorMessage="0" allowBlank="0" errorTitle="Invalid dock door" error="Enter a dock door number from 1 through 99." type="whole" operator="between">
      <formula1>1</formula1>
      <formula2>99</formula2>
    </dataValidation>
    <dataValidation sqref="W6:W105" showDropDown="0" showInputMessage="0" showErrorMessage="0" allowBlank="0" errorTitle="Invalid priority" error="Select Low, Normal, High, or Urgent." type="list">
      <formula1>"Low,Normal,High,Urgent"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/>
  </sheetPr>
  <dimension ref="A1:L110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21" customWidth="1" min="3" max="3"/>
    <col width="38" customWidth="1" min="4" max="4"/>
    <col width="3" customWidth="1" min="5" max="5"/>
    <col width="24" customWidth="1" min="6" max="6"/>
    <col width="15" customWidth="1" min="7" max="7"/>
    <col width="20" customWidth="1" min="8" max="8"/>
    <col width="16" customWidth="1" min="9" max="9"/>
    <col width="3" customWidth="1" min="10" max="10"/>
    <col width="23" customWidth="1" min="11" max="11"/>
    <col width="13" customWidth="1" min="12" max="12"/>
  </cols>
  <sheetData>
    <row r="1" ht="30" customHeight="1">
      <c r="A1" s="1" t="inlineStr">
        <is>
          <t>Settings &amp; Lists</t>
        </is>
      </c>
    </row>
    <row r="2">
      <c r="A2" s="3" t="inlineStr">
        <is>
          <t>Edit mint cells to maintain planning assumptions, lanes, carriers, and dock locations. Formula cells are shaded light.</t>
        </is>
      </c>
    </row>
    <row r="3" ht="32" customHeight="1">
      <c r="A3" s="11" t="inlineStr">
        <is>
          <t>Editable Setting</t>
        </is>
      </c>
      <c r="B3" s="11" t="inlineStr">
        <is>
          <t>Value</t>
        </is>
      </c>
      <c r="C3" s="11" t="inlineStr">
        <is>
          <t>Units</t>
        </is>
      </c>
      <c r="D3" s="11" t="inlineStr">
        <is>
          <t>Planning Use</t>
        </is>
      </c>
    </row>
    <row r="4">
      <c r="A4" s="32" t="inlineStr">
        <is>
          <t>Default fuel economy</t>
        </is>
      </c>
      <c r="B4" s="53" t="n">
        <v>6.8</v>
      </c>
      <c r="C4" s="32" t="inlineStr">
        <is>
          <t>MPG</t>
        </is>
      </c>
      <c r="D4" s="32" t="inlineStr">
        <is>
          <t>Calculates planned gallons from route miles.</t>
        </is>
      </c>
    </row>
    <row r="5">
      <c r="A5" s="32" t="inlineStr">
        <is>
          <t>Diesel price per gallon</t>
        </is>
      </c>
      <c r="B5" s="54" t="n">
        <v>3.92</v>
      </c>
      <c r="C5" s="32" t="inlineStr">
        <is>
          <t>U.S. dollars</t>
        </is>
      </c>
      <c r="D5" s="32" t="inlineStr">
        <is>
          <t>Calculates estimated fuel cost.</t>
        </is>
      </c>
    </row>
    <row r="6">
      <c r="A6" s="32" t="inlineStr">
        <is>
          <t>Maximum preferred dwell hours</t>
        </is>
      </c>
      <c r="B6" s="53" t="n">
        <v>2</v>
      </c>
      <c r="C6" s="32" t="inlineStr">
        <is>
          <t>hours</t>
        </is>
      </c>
      <c r="D6" s="32" t="inlineStr">
        <is>
          <t>Highlights dwell above the preferred operating target.</t>
        </is>
      </c>
    </row>
    <row r="7">
      <c r="A7" s="32" t="inlineStr">
        <is>
          <t>Late-arrival grace hours</t>
        </is>
      </c>
      <c r="B7" s="53" t="n">
        <v>0.5</v>
      </c>
      <c r="C7" s="32" t="inlineStr">
        <is>
          <t>hours</t>
        </is>
      </c>
      <c r="D7" s="32" t="inlineStr">
        <is>
          <t>Allows a planning grace period before late status.</t>
        </is>
      </c>
    </row>
    <row r="8">
      <c r="A8" s="32" t="inlineStr">
        <is>
          <t>Planning horizon days</t>
        </is>
      </c>
      <c r="B8" s="35" t="n">
        <v>14</v>
      </c>
      <c r="C8" s="32" t="inlineStr">
        <is>
          <t>days</t>
        </is>
      </c>
      <c r="D8" s="32" t="inlineStr">
        <is>
          <t>Documents the intended scheduling window.</t>
        </is>
      </c>
    </row>
    <row r="9">
      <c r="A9" s="10" t="inlineStr">
        <is>
          <t>Lane Directory</t>
        </is>
      </c>
      <c r="B9" s="10" t="n"/>
      <c r="C9" s="10" t="n"/>
      <c r="D9" s="10" t="n"/>
      <c r="F9" s="10" t="inlineStr">
        <is>
          <t>Carrier Directory</t>
        </is>
      </c>
      <c r="G9" s="10" t="n"/>
      <c r="H9" s="10" t="n"/>
      <c r="I9" s="10" t="n"/>
      <c r="K9" s="10" t="inlineStr">
        <is>
          <t>Dock Location List</t>
        </is>
      </c>
      <c r="L9" s="10" t="n"/>
    </row>
    <row r="10" ht="32" customHeight="1">
      <c r="A10" s="11" t="inlineStr">
        <is>
          <t>Lane Key</t>
        </is>
      </c>
      <c r="B10" s="11" t="inlineStr">
        <is>
          <t>Origin Dock</t>
        </is>
      </c>
      <c r="C10" s="11" t="inlineStr">
        <is>
          <t>Destination Dock</t>
        </is>
      </c>
      <c r="D10" s="11" t="inlineStr">
        <is>
          <t>Miles</t>
        </is>
      </c>
      <c r="F10" s="11" t="inlineStr">
        <is>
          <t>Carrier</t>
        </is>
      </c>
      <c r="G10" s="11" t="inlineStr">
        <is>
          <t>Rate per Mile</t>
        </is>
      </c>
      <c r="H10" s="11" t="inlineStr">
        <is>
          <t>Dispatcher Phone</t>
        </is>
      </c>
      <c r="I10" s="11" t="inlineStr">
        <is>
          <t>Service Level</t>
        </is>
      </c>
      <c r="K10" s="11" t="inlineStr">
        <is>
          <t>Location Name</t>
        </is>
      </c>
      <c r="L10" s="11" t="inlineStr">
        <is>
          <t>Dock Code</t>
        </is>
      </c>
    </row>
    <row r="11">
      <c r="A11" s="36">
        <f>IF(OR($B11="",$C11=""),"",$B11&amp;"|"&amp;$C11)</f>
        <v/>
      </c>
      <c r="B11" s="22" t="inlineStr">
        <is>
          <t>Dallas, TX</t>
        </is>
      </c>
      <c r="C11" s="22" t="inlineStr">
        <is>
          <t>Houston, TX</t>
        </is>
      </c>
      <c r="D11" s="24" t="n">
        <v>239</v>
      </c>
      <c r="F11" s="22" t="inlineStr">
        <is>
          <t>Blue Ridge Freight</t>
        </is>
      </c>
      <c r="G11" s="55" t="n">
        <v>2.45</v>
      </c>
      <c r="H11" s="38" t="inlineStr">
        <is>
          <t>(704) 555-0138</t>
        </is>
      </c>
      <c r="I11" s="30" t="inlineStr">
        <is>
          <t>Standard</t>
        </is>
      </c>
      <c r="K11" s="22" t="inlineStr">
        <is>
          <t>Dallas, TX</t>
        </is>
      </c>
      <c r="L11" s="22" t="inlineStr">
        <is>
          <t>DAL</t>
        </is>
      </c>
    </row>
    <row r="12">
      <c r="A12" s="36">
        <f>IF(OR($B12="",$C12=""),"",$B12&amp;"|"&amp;$C12)</f>
        <v/>
      </c>
      <c r="B12" s="22" t="inlineStr">
        <is>
          <t>Houston, TX</t>
        </is>
      </c>
      <c r="C12" s="22" t="inlineStr">
        <is>
          <t>San Antonio, TX</t>
        </is>
      </c>
      <c r="D12" s="24" t="n">
        <v>197</v>
      </c>
      <c r="F12" s="22" t="inlineStr">
        <is>
          <t>Lone Star Logistics</t>
        </is>
      </c>
      <c r="G12" s="55" t="n">
        <v>2.38</v>
      </c>
      <c r="H12" s="38" t="inlineStr">
        <is>
          <t>(214) 555-0182</t>
        </is>
      </c>
      <c r="I12" s="30" t="inlineStr">
        <is>
          <t>Priority</t>
        </is>
      </c>
      <c r="K12" s="22" t="inlineStr">
        <is>
          <t>Houston, TX</t>
        </is>
      </c>
      <c r="L12" s="22" t="inlineStr">
        <is>
          <t>HOU</t>
        </is>
      </c>
    </row>
    <row r="13">
      <c r="A13" s="36">
        <f>IF(OR($B13="",$C13=""),"",$B13&amp;"|"&amp;$C13)</f>
        <v/>
      </c>
      <c r="B13" s="22" t="inlineStr">
        <is>
          <t>San Antonio, TX</t>
        </is>
      </c>
      <c r="C13" s="22" t="inlineStr">
        <is>
          <t>Austin, TX</t>
        </is>
      </c>
      <c r="D13" s="24" t="n">
        <v>80</v>
      </c>
      <c r="F13" s="22" t="inlineStr">
        <is>
          <t>Prairie Line Transport</t>
        </is>
      </c>
      <c r="G13" s="55" t="n">
        <v>2.52</v>
      </c>
      <c r="H13" s="38" t="inlineStr">
        <is>
          <t>(405) 555-0164</t>
        </is>
      </c>
      <c r="I13" s="30" t="inlineStr">
        <is>
          <t>Standard</t>
        </is>
      </c>
      <c r="K13" s="22" t="inlineStr">
        <is>
          <t>San Antonio, TX</t>
        </is>
      </c>
      <c r="L13" s="22" t="inlineStr">
        <is>
          <t>SAT</t>
        </is>
      </c>
    </row>
    <row r="14">
      <c r="A14" s="36">
        <f>IF(OR($B14="",$C14=""),"",$B14&amp;"|"&amp;$C14)</f>
        <v/>
      </c>
      <c r="B14" s="22" t="inlineStr">
        <is>
          <t>Austin, TX</t>
        </is>
      </c>
      <c r="C14" s="22" t="inlineStr">
        <is>
          <t>Dallas, TX</t>
        </is>
      </c>
      <c r="D14" s="24" t="n">
        <v>195</v>
      </c>
      <c r="F14" s="22" t="inlineStr">
        <is>
          <t>MetroHaul Carriers</t>
        </is>
      </c>
      <c r="G14" s="55" t="n">
        <v>2.61</v>
      </c>
      <c r="H14" s="38" t="inlineStr">
        <is>
          <t>(602) 555-0119</t>
        </is>
      </c>
      <c r="I14" s="30" t="inlineStr">
        <is>
          <t>Expedited</t>
        </is>
      </c>
      <c r="K14" s="22" t="inlineStr">
        <is>
          <t>Austin, TX</t>
        </is>
      </c>
      <c r="L14" s="22" t="inlineStr">
        <is>
          <t>AUS</t>
        </is>
      </c>
    </row>
    <row r="15">
      <c r="A15" s="36">
        <f>IF(OR($B15="",$C15=""),"",$B15&amp;"|"&amp;$C15)</f>
        <v/>
      </c>
      <c r="B15" s="22" t="inlineStr">
        <is>
          <t>Fort Worth, TX</t>
        </is>
      </c>
      <c r="C15" s="22" t="inlineStr">
        <is>
          <t>Oklahoma City, OK</t>
        </is>
      </c>
      <c r="D15" s="24" t="n">
        <v>201</v>
      </c>
      <c r="F15" s="22" t="inlineStr">
        <is>
          <t>Sunbelt Express</t>
        </is>
      </c>
      <c r="G15" s="55" t="n">
        <v>2.47</v>
      </c>
      <c r="H15" s="38" t="inlineStr">
        <is>
          <t>(901) 555-0175</t>
        </is>
      </c>
      <c r="I15" s="30" t="inlineStr">
        <is>
          <t>Priority</t>
        </is>
      </c>
      <c r="K15" s="22" t="inlineStr">
        <is>
          <t>Fort Worth, TX</t>
        </is>
      </c>
      <c r="L15" s="22" t="inlineStr">
        <is>
          <t>FTW</t>
        </is>
      </c>
    </row>
    <row r="16">
      <c r="A16" s="36">
        <f>IF(OR($B16="",$C16=""),"",$B16&amp;"|"&amp;$C16)</f>
        <v/>
      </c>
      <c r="B16" s="22" t="inlineStr">
        <is>
          <t>Memphis, TN</t>
        </is>
      </c>
      <c r="C16" s="22" t="inlineStr">
        <is>
          <t>Nashville, TN</t>
        </is>
      </c>
      <c r="D16" s="24" t="n">
        <v>212</v>
      </c>
      <c r="F16" s="22" t="inlineStr">
        <is>
          <t>Great Lakes Freight</t>
        </is>
      </c>
      <c r="G16" s="55" t="n">
        <v>2.55</v>
      </c>
      <c r="H16" s="38" t="inlineStr">
        <is>
          <t>(312) 555-0146</t>
        </is>
      </c>
      <c r="I16" s="30" t="inlineStr">
        <is>
          <t>Standard</t>
        </is>
      </c>
      <c r="K16" s="22" t="inlineStr">
        <is>
          <t>Oklahoma City, OK</t>
        </is>
      </c>
      <c r="L16" s="22" t="inlineStr">
        <is>
          <t>OKC</t>
        </is>
      </c>
    </row>
    <row r="17">
      <c r="A17" s="36">
        <f>IF(OR($B17="",$C17=""),"",$B17&amp;"|"&amp;$C17)</f>
        <v/>
      </c>
      <c r="B17" s="22" t="inlineStr">
        <is>
          <t>Atlanta, GA</t>
        </is>
      </c>
      <c r="C17" s="22" t="inlineStr">
        <is>
          <t>Charlotte, NC</t>
        </is>
      </c>
      <c r="D17" s="24" t="n">
        <v>245</v>
      </c>
      <c r="F17" s="22" t="n"/>
      <c r="G17" s="55" t="n"/>
      <c r="H17" s="38" t="n"/>
      <c r="I17" s="30" t="n"/>
      <c r="K17" s="22" t="inlineStr">
        <is>
          <t>Memphis, TN</t>
        </is>
      </c>
      <c r="L17" s="22" t="inlineStr">
        <is>
          <t>MEM</t>
        </is>
      </c>
    </row>
    <row r="18">
      <c r="A18" s="36">
        <f>IF(OR($B18="",$C18=""),"",$B18&amp;"|"&amp;$C18)</f>
        <v/>
      </c>
      <c r="B18" s="22" t="inlineStr">
        <is>
          <t>Chicago, IL</t>
        </is>
      </c>
      <c r="C18" s="22" t="inlineStr">
        <is>
          <t>Indianapolis, IN</t>
        </is>
      </c>
      <c r="D18" s="24" t="n">
        <v>184</v>
      </c>
      <c r="F18" s="22" t="n"/>
      <c r="G18" s="55" t="n"/>
      <c r="H18" s="38" t="n"/>
      <c r="I18" s="30" t="n"/>
      <c r="K18" s="22" t="inlineStr">
        <is>
          <t>Nashville, TN</t>
        </is>
      </c>
      <c r="L18" s="22" t="inlineStr">
        <is>
          <t>BNA</t>
        </is>
      </c>
    </row>
    <row r="19">
      <c r="A19" s="36">
        <f>IF(OR($B19="",$C19=""),"",$B19&amp;"|"&amp;$C19)</f>
        <v/>
      </c>
      <c r="B19" s="22" t="inlineStr">
        <is>
          <t>Los Angeles, CA</t>
        </is>
      </c>
      <c r="C19" s="22" t="inlineStr">
        <is>
          <t>Phoenix, AZ</t>
        </is>
      </c>
      <c r="D19" s="24" t="n">
        <v>373</v>
      </c>
      <c r="F19" s="22" t="n"/>
      <c r="G19" s="55" t="n"/>
      <c r="H19" s="38" t="n"/>
      <c r="I19" s="30" t="n"/>
      <c r="K19" s="22" t="inlineStr">
        <is>
          <t>Atlanta, GA</t>
        </is>
      </c>
      <c r="L19" s="22" t="inlineStr">
        <is>
          <t>ATL</t>
        </is>
      </c>
    </row>
    <row r="20">
      <c r="A20" s="36">
        <f>IF(OR($B20="",$C20=""),"",$B20&amp;"|"&amp;$C20)</f>
        <v/>
      </c>
      <c r="B20" s="22" t="inlineStr">
        <is>
          <t>Phoenix, AZ</t>
        </is>
      </c>
      <c r="C20" s="22" t="inlineStr">
        <is>
          <t>Las Vegas, NV</t>
        </is>
      </c>
      <c r="D20" s="24" t="n">
        <v>302</v>
      </c>
      <c r="F20" s="22" t="n"/>
      <c r="G20" s="55" t="n"/>
      <c r="H20" s="38" t="n"/>
      <c r="I20" s="30" t="n"/>
      <c r="K20" s="22" t="inlineStr">
        <is>
          <t>Charlotte, NC</t>
        </is>
      </c>
      <c r="L20" s="22" t="inlineStr">
        <is>
          <t>CLT</t>
        </is>
      </c>
    </row>
    <row r="21">
      <c r="A21" s="36">
        <f>IF(OR($B21="",$C21=""),"",$B21&amp;"|"&amp;$C21)</f>
        <v/>
      </c>
      <c r="B21" s="22" t="n"/>
      <c r="C21" s="22" t="n"/>
      <c r="D21" s="24" t="n"/>
      <c r="F21" s="22" t="n"/>
      <c r="G21" s="55" t="n"/>
      <c r="H21" s="38" t="n"/>
      <c r="I21" s="30" t="n"/>
      <c r="K21" s="22" t="inlineStr">
        <is>
          <t>Chicago, IL</t>
        </is>
      </c>
      <c r="L21" s="22" t="inlineStr">
        <is>
          <t>CHI</t>
        </is>
      </c>
    </row>
    <row r="22">
      <c r="A22" s="36">
        <f>IF(OR($B22="",$C22=""),"",$B22&amp;"|"&amp;$C22)</f>
        <v/>
      </c>
      <c r="B22" s="22" t="n"/>
      <c r="C22" s="22" t="n"/>
      <c r="D22" s="24" t="n"/>
      <c r="F22" s="22" t="n"/>
      <c r="G22" s="55" t="n"/>
      <c r="H22" s="38" t="n"/>
      <c r="I22" s="30" t="n"/>
      <c r="K22" s="22" t="inlineStr">
        <is>
          <t>Indianapolis, IN</t>
        </is>
      </c>
      <c r="L22" s="22" t="inlineStr">
        <is>
          <t>IND</t>
        </is>
      </c>
    </row>
    <row r="23">
      <c r="A23" s="36">
        <f>IF(OR($B23="",$C23=""),"",$B23&amp;"|"&amp;$C23)</f>
        <v/>
      </c>
      <c r="B23" s="22" t="n"/>
      <c r="C23" s="22" t="n"/>
      <c r="D23" s="24" t="n"/>
      <c r="F23" s="22" t="n"/>
      <c r="G23" s="55" t="n"/>
      <c r="H23" s="38" t="n"/>
      <c r="I23" s="30" t="n"/>
      <c r="K23" s="22" t="inlineStr">
        <is>
          <t>Los Angeles, CA</t>
        </is>
      </c>
      <c r="L23" s="22" t="inlineStr">
        <is>
          <t>LAX</t>
        </is>
      </c>
    </row>
    <row r="24">
      <c r="A24" s="36">
        <f>IF(OR($B24="",$C24=""),"",$B24&amp;"|"&amp;$C24)</f>
        <v/>
      </c>
      <c r="B24" s="22" t="n"/>
      <c r="C24" s="22" t="n"/>
      <c r="D24" s="24" t="n"/>
      <c r="F24" s="22" t="n"/>
      <c r="G24" s="55" t="n"/>
      <c r="H24" s="38" t="n"/>
      <c r="I24" s="30" t="n"/>
      <c r="K24" s="22" t="inlineStr">
        <is>
          <t>Phoenix, AZ</t>
        </is>
      </c>
      <c r="L24" s="22" t="inlineStr">
        <is>
          <t>PHX</t>
        </is>
      </c>
    </row>
    <row r="25">
      <c r="A25" s="36">
        <f>IF(OR($B25="",$C25=""),"",$B25&amp;"|"&amp;$C25)</f>
        <v/>
      </c>
      <c r="B25" s="22" t="n"/>
      <c r="C25" s="22" t="n"/>
      <c r="D25" s="24" t="n"/>
      <c r="F25" s="22" t="n"/>
      <c r="G25" s="55" t="n"/>
      <c r="H25" s="38" t="n"/>
      <c r="I25" s="30" t="n"/>
      <c r="K25" s="22" t="inlineStr">
        <is>
          <t>Las Vegas, NV</t>
        </is>
      </c>
      <c r="L25" s="22" t="inlineStr">
        <is>
          <t>LAS</t>
        </is>
      </c>
    </row>
    <row r="26">
      <c r="A26" s="36">
        <f>IF(OR($B26="",$C26=""),"",$B26&amp;"|"&amp;$C26)</f>
        <v/>
      </c>
      <c r="B26" s="22" t="n"/>
      <c r="C26" s="22" t="n"/>
      <c r="D26" s="24" t="n"/>
      <c r="F26" s="22" t="n"/>
      <c r="G26" s="55" t="n"/>
      <c r="H26" s="38" t="n"/>
      <c r="I26" s="30" t="n"/>
      <c r="K26" s="22" t="n"/>
      <c r="L26" s="22" t="n"/>
    </row>
    <row r="27">
      <c r="A27" s="36">
        <f>IF(OR($B27="",$C27=""),"",$B27&amp;"|"&amp;$C27)</f>
        <v/>
      </c>
      <c r="B27" s="22" t="n"/>
      <c r="C27" s="22" t="n"/>
      <c r="D27" s="24" t="n"/>
      <c r="F27" s="22" t="n"/>
      <c r="G27" s="55" t="n"/>
      <c r="H27" s="38" t="n"/>
      <c r="I27" s="30" t="n"/>
      <c r="K27" s="22" t="n"/>
      <c r="L27" s="22" t="n"/>
    </row>
    <row r="28">
      <c r="A28" s="36">
        <f>IF(OR($B28="",$C28=""),"",$B28&amp;"|"&amp;$C28)</f>
        <v/>
      </c>
      <c r="B28" s="22" t="n"/>
      <c r="C28" s="22" t="n"/>
      <c r="D28" s="24" t="n"/>
      <c r="F28" s="22" t="n"/>
      <c r="G28" s="55" t="n"/>
      <c r="H28" s="38" t="n"/>
      <c r="I28" s="30" t="n"/>
      <c r="K28" s="22" t="n"/>
      <c r="L28" s="22" t="n"/>
    </row>
    <row r="29">
      <c r="A29" s="36">
        <f>IF(OR($B29="",$C29=""),"",$B29&amp;"|"&amp;$C29)</f>
        <v/>
      </c>
      <c r="B29" s="22" t="n"/>
      <c r="C29" s="22" t="n"/>
      <c r="D29" s="24" t="n"/>
      <c r="F29" s="22" t="n"/>
      <c r="G29" s="55" t="n"/>
      <c r="H29" s="38" t="n"/>
      <c r="I29" s="30" t="n"/>
      <c r="K29" s="22" t="n"/>
      <c r="L29" s="22" t="n"/>
    </row>
    <row r="30">
      <c r="A30" s="36">
        <f>IF(OR($B30="",$C30=""),"",$B30&amp;"|"&amp;$C30)</f>
        <v/>
      </c>
      <c r="B30" s="22" t="n"/>
      <c r="C30" s="22" t="n"/>
      <c r="D30" s="24" t="n"/>
      <c r="F30" s="22" t="n"/>
      <c r="G30" s="55" t="n"/>
      <c r="H30" s="38" t="n"/>
      <c r="I30" s="30" t="n"/>
      <c r="K30" s="22" t="n"/>
      <c r="L30" s="22" t="n"/>
    </row>
    <row r="31">
      <c r="A31" s="36">
        <f>IF(OR($B31="",$C31=""),"",$B31&amp;"|"&amp;$C31)</f>
        <v/>
      </c>
      <c r="B31" s="22" t="n"/>
      <c r="C31" s="22" t="n"/>
      <c r="D31" s="24" t="n"/>
      <c r="F31" s="22" t="n"/>
      <c r="G31" s="55" t="n"/>
      <c r="H31" s="38" t="n"/>
      <c r="I31" s="30" t="n"/>
      <c r="K31" s="22" t="n"/>
      <c r="L31" s="22" t="n"/>
    </row>
    <row r="32">
      <c r="A32" s="36">
        <f>IF(OR($B32="",$C32=""),"",$B32&amp;"|"&amp;$C32)</f>
        <v/>
      </c>
      <c r="B32" s="22" t="n"/>
      <c r="C32" s="22" t="n"/>
      <c r="D32" s="24" t="n"/>
      <c r="F32" s="22" t="n"/>
      <c r="G32" s="55" t="n"/>
      <c r="H32" s="38" t="n"/>
      <c r="I32" s="30" t="n"/>
      <c r="K32" s="22" t="n"/>
      <c r="L32" s="22" t="n"/>
    </row>
    <row r="33">
      <c r="A33" s="36">
        <f>IF(OR($B33="",$C33=""),"",$B33&amp;"|"&amp;$C33)</f>
        <v/>
      </c>
      <c r="B33" s="22" t="n"/>
      <c r="C33" s="22" t="n"/>
      <c r="D33" s="24" t="n"/>
      <c r="F33" s="22" t="n"/>
      <c r="G33" s="55" t="n"/>
      <c r="H33" s="38" t="n"/>
      <c r="I33" s="30" t="n"/>
      <c r="K33" s="22" t="n"/>
      <c r="L33" s="22" t="n"/>
    </row>
    <row r="34">
      <c r="A34" s="36">
        <f>IF(OR($B34="",$C34=""),"",$B34&amp;"|"&amp;$C34)</f>
        <v/>
      </c>
      <c r="B34" s="22" t="n"/>
      <c r="C34" s="22" t="n"/>
      <c r="D34" s="24" t="n"/>
      <c r="F34" s="22" t="n"/>
      <c r="G34" s="55" t="n"/>
      <c r="H34" s="38" t="n"/>
      <c r="I34" s="30" t="n"/>
      <c r="K34" s="22" t="n"/>
      <c r="L34" s="22" t="n"/>
    </row>
    <row r="35">
      <c r="A35" s="36">
        <f>IF(OR($B35="",$C35=""),"",$B35&amp;"|"&amp;$C35)</f>
        <v/>
      </c>
      <c r="B35" s="22" t="n"/>
      <c r="C35" s="22" t="n"/>
      <c r="D35" s="24" t="n"/>
      <c r="F35" s="22" t="n"/>
      <c r="G35" s="55" t="n"/>
      <c r="H35" s="38" t="n"/>
      <c r="I35" s="30" t="n"/>
      <c r="K35" s="22" t="n"/>
      <c r="L35" s="22" t="n"/>
    </row>
    <row r="36">
      <c r="A36" s="36">
        <f>IF(OR($B36="",$C36=""),"",$B36&amp;"|"&amp;$C36)</f>
        <v/>
      </c>
      <c r="B36" s="22" t="n"/>
      <c r="C36" s="22" t="n"/>
      <c r="D36" s="24" t="n"/>
      <c r="F36" s="22" t="n"/>
      <c r="G36" s="55" t="n"/>
      <c r="H36" s="38" t="n"/>
      <c r="I36" s="30" t="n"/>
      <c r="K36" s="22" t="n"/>
      <c r="L36" s="22" t="n"/>
    </row>
    <row r="37">
      <c r="A37" s="36">
        <f>IF(OR($B37="",$C37=""),"",$B37&amp;"|"&amp;$C37)</f>
        <v/>
      </c>
      <c r="B37" s="22" t="n"/>
      <c r="C37" s="22" t="n"/>
      <c r="D37" s="24" t="n"/>
      <c r="F37" s="22" t="n"/>
      <c r="G37" s="55" t="n"/>
      <c r="H37" s="38" t="n"/>
      <c r="I37" s="30" t="n"/>
      <c r="K37" s="22" t="n"/>
      <c r="L37" s="22" t="n"/>
    </row>
    <row r="38">
      <c r="A38" s="36">
        <f>IF(OR($B38="",$C38=""),"",$B38&amp;"|"&amp;$C38)</f>
        <v/>
      </c>
      <c r="B38" s="22" t="n"/>
      <c r="C38" s="22" t="n"/>
      <c r="D38" s="24" t="n"/>
      <c r="F38" s="22" t="n"/>
      <c r="G38" s="55" t="n"/>
      <c r="H38" s="38" t="n"/>
      <c r="I38" s="30" t="n"/>
      <c r="K38" s="22" t="n"/>
      <c r="L38" s="22" t="n"/>
    </row>
    <row r="39">
      <c r="A39" s="36">
        <f>IF(OR($B39="",$C39=""),"",$B39&amp;"|"&amp;$C39)</f>
        <v/>
      </c>
      <c r="B39" s="22" t="n"/>
      <c r="C39" s="22" t="n"/>
      <c r="D39" s="24" t="n"/>
      <c r="F39" s="22" t="n"/>
      <c r="G39" s="55" t="n"/>
      <c r="H39" s="38" t="n"/>
      <c r="I39" s="30" t="n"/>
      <c r="K39" s="22" t="n"/>
      <c r="L39" s="22" t="n"/>
    </row>
    <row r="40">
      <c r="A40" s="36">
        <f>IF(OR($B40="",$C40=""),"",$B40&amp;"|"&amp;$C40)</f>
        <v/>
      </c>
      <c r="B40" s="22" t="n"/>
      <c r="C40" s="22" t="n"/>
      <c r="D40" s="24" t="n"/>
      <c r="F40" s="22" t="n"/>
      <c r="G40" s="55" t="n"/>
      <c r="H40" s="38" t="n"/>
      <c r="I40" s="30" t="n"/>
      <c r="K40" s="22" t="n"/>
      <c r="L40" s="22" t="n"/>
    </row>
    <row r="41">
      <c r="A41" s="36">
        <f>IF(OR($B41="",$C41=""),"",$B41&amp;"|"&amp;$C41)</f>
        <v/>
      </c>
      <c r="B41" s="22" t="n"/>
      <c r="C41" s="22" t="n"/>
      <c r="D41" s="24" t="n"/>
      <c r="F41" s="22" t="n"/>
      <c r="G41" s="55" t="n"/>
      <c r="H41" s="38" t="n"/>
      <c r="I41" s="30" t="n"/>
      <c r="K41" s="22" t="n"/>
      <c r="L41" s="22" t="n"/>
    </row>
    <row r="42">
      <c r="A42" s="36">
        <f>IF(OR($B42="",$C42=""),"",$B42&amp;"|"&amp;$C42)</f>
        <v/>
      </c>
      <c r="B42" s="22" t="n"/>
      <c r="C42" s="22" t="n"/>
      <c r="D42" s="24" t="n"/>
      <c r="F42" s="22" t="n"/>
      <c r="G42" s="55" t="n"/>
      <c r="H42" s="38" t="n"/>
      <c r="I42" s="30" t="n"/>
      <c r="K42" s="22" t="n"/>
      <c r="L42" s="22" t="n"/>
    </row>
    <row r="43">
      <c r="A43" s="36">
        <f>IF(OR($B43="",$C43=""),"",$B43&amp;"|"&amp;$C43)</f>
        <v/>
      </c>
      <c r="B43" s="22" t="n"/>
      <c r="C43" s="22" t="n"/>
      <c r="D43" s="24" t="n"/>
      <c r="F43" s="22" t="n"/>
      <c r="G43" s="55" t="n"/>
      <c r="H43" s="38" t="n"/>
      <c r="I43" s="30" t="n"/>
      <c r="K43" s="22" t="n"/>
      <c r="L43" s="22" t="n"/>
    </row>
    <row r="44">
      <c r="A44" s="36">
        <f>IF(OR($B44="",$C44=""),"",$B44&amp;"|"&amp;$C44)</f>
        <v/>
      </c>
      <c r="B44" s="22" t="n"/>
      <c r="C44" s="22" t="n"/>
      <c r="D44" s="24" t="n"/>
      <c r="F44" s="22" t="n"/>
      <c r="G44" s="55" t="n"/>
      <c r="H44" s="38" t="n"/>
      <c r="I44" s="30" t="n"/>
      <c r="K44" s="22" t="n"/>
      <c r="L44" s="22" t="n"/>
    </row>
    <row r="45">
      <c r="A45" s="36">
        <f>IF(OR($B45="",$C45=""),"",$B45&amp;"|"&amp;$C45)</f>
        <v/>
      </c>
      <c r="B45" s="22" t="n"/>
      <c r="C45" s="22" t="n"/>
      <c r="D45" s="24" t="n"/>
      <c r="F45" s="22" t="n"/>
      <c r="G45" s="55" t="n"/>
      <c r="H45" s="38" t="n"/>
      <c r="I45" s="30" t="n"/>
      <c r="K45" s="22" t="n"/>
      <c r="L45" s="22" t="n"/>
    </row>
    <row r="46">
      <c r="A46" s="36">
        <f>IF(OR($B46="",$C46=""),"",$B46&amp;"|"&amp;$C46)</f>
        <v/>
      </c>
      <c r="B46" s="22" t="n"/>
      <c r="C46" s="22" t="n"/>
      <c r="D46" s="24" t="n"/>
      <c r="F46" s="22" t="n"/>
      <c r="G46" s="55" t="n"/>
      <c r="H46" s="38" t="n"/>
      <c r="I46" s="30" t="n"/>
      <c r="K46" s="22" t="n"/>
      <c r="L46" s="22" t="n"/>
    </row>
    <row r="47">
      <c r="A47" s="36">
        <f>IF(OR($B47="",$C47=""),"",$B47&amp;"|"&amp;$C47)</f>
        <v/>
      </c>
      <c r="B47" s="22" t="n"/>
      <c r="C47" s="22" t="n"/>
      <c r="D47" s="24" t="n"/>
      <c r="F47" s="22" t="n"/>
      <c r="G47" s="55" t="n"/>
      <c r="H47" s="38" t="n"/>
      <c r="I47" s="30" t="n"/>
      <c r="K47" s="22" t="n"/>
      <c r="L47" s="22" t="n"/>
    </row>
    <row r="48">
      <c r="A48" s="36">
        <f>IF(OR($B48="",$C48=""),"",$B48&amp;"|"&amp;$C48)</f>
        <v/>
      </c>
      <c r="B48" s="22" t="n"/>
      <c r="C48" s="22" t="n"/>
      <c r="D48" s="24" t="n"/>
      <c r="F48" s="22" t="n"/>
      <c r="G48" s="55" t="n"/>
      <c r="H48" s="38" t="n"/>
      <c r="I48" s="30" t="n"/>
      <c r="K48" s="22" t="n"/>
      <c r="L48" s="22" t="n"/>
    </row>
    <row r="49">
      <c r="A49" s="36">
        <f>IF(OR($B49="",$C49=""),"",$B49&amp;"|"&amp;$C49)</f>
        <v/>
      </c>
      <c r="B49" s="22" t="n"/>
      <c r="C49" s="22" t="n"/>
      <c r="D49" s="24" t="n"/>
      <c r="F49" s="22" t="n"/>
      <c r="G49" s="55" t="n"/>
      <c r="H49" s="38" t="n"/>
      <c r="I49" s="30" t="n"/>
      <c r="K49" s="22" t="n"/>
      <c r="L49" s="22" t="n"/>
    </row>
    <row r="50">
      <c r="A50" s="36">
        <f>IF(OR($B50="",$C50=""),"",$B50&amp;"|"&amp;$C50)</f>
        <v/>
      </c>
      <c r="B50" s="22" t="n"/>
      <c r="C50" s="22" t="n"/>
      <c r="D50" s="24" t="n"/>
      <c r="F50" s="22" t="n"/>
      <c r="G50" s="55" t="n"/>
      <c r="H50" s="38" t="n"/>
      <c r="I50" s="30" t="n"/>
      <c r="K50" s="22" t="n"/>
      <c r="L50" s="22" t="n"/>
    </row>
    <row r="51">
      <c r="A51" s="36">
        <f>IF(OR($B51="",$C51=""),"",$B51&amp;"|"&amp;$C51)</f>
        <v/>
      </c>
      <c r="B51" s="22" t="n"/>
      <c r="C51" s="22" t="n"/>
      <c r="D51" s="24" t="n"/>
      <c r="F51" s="22" t="n"/>
      <c r="G51" s="55" t="n"/>
      <c r="H51" s="38" t="n"/>
      <c r="I51" s="30" t="n"/>
      <c r="K51" s="22" t="n"/>
      <c r="L51" s="22" t="n"/>
    </row>
    <row r="52">
      <c r="A52" s="36">
        <f>IF(OR($B52="",$C52=""),"",$B52&amp;"|"&amp;$C52)</f>
        <v/>
      </c>
      <c r="B52" s="22" t="n"/>
      <c r="C52" s="22" t="n"/>
      <c r="D52" s="24" t="n"/>
      <c r="F52" s="22" t="n"/>
      <c r="G52" s="55" t="n"/>
      <c r="H52" s="38" t="n"/>
      <c r="I52" s="30" t="n"/>
      <c r="K52" s="22" t="n"/>
      <c r="L52" s="22" t="n"/>
    </row>
    <row r="53">
      <c r="A53" s="36">
        <f>IF(OR($B53="",$C53=""),"",$B53&amp;"|"&amp;$C53)</f>
        <v/>
      </c>
      <c r="B53" s="22" t="n"/>
      <c r="C53" s="22" t="n"/>
      <c r="D53" s="24" t="n"/>
      <c r="F53" s="22" t="n"/>
      <c r="G53" s="55" t="n"/>
      <c r="H53" s="38" t="n"/>
      <c r="I53" s="30" t="n"/>
      <c r="K53" s="22" t="n"/>
      <c r="L53" s="22" t="n"/>
    </row>
    <row r="54">
      <c r="A54" s="36">
        <f>IF(OR($B54="",$C54=""),"",$B54&amp;"|"&amp;$C54)</f>
        <v/>
      </c>
      <c r="B54" s="22" t="n"/>
      <c r="C54" s="22" t="n"/>
      <c r="D54" s="24" t="n"/>
      <c r="F54" s="22" t="n"/>
      <c r="G54" s="55" t="n"/>
      <c r="H54" s="38" t="n"/>
      <c r="I54" s="30" t="n"/>
      <c r="K54" s="22" t="n"/>
      <c r="L54" s="22" t="n"/>
    </row>
    <row r="55">
      <c r="A55" s="36">
        <f>IF(OR($B55="",$C55=""),"",$B55&amp;"|"&amp;$C55)</f>
        <v/>
      </c>
      <c r="B55" s="22" t="n"/>
      <c r="C55" s="22" t="n"/>
      <c r="D55" s="24" t="n"/>
      <c r="F55" s="22" t="n"/>
      <c r="G55" s="55" t="n"/>
      <c r="H55" s="38" t="n"/>
      <c r="I55" s="30" t="n"/>
      <c r="K55" s="22" t="n"/>
      <c r="L55" s="22" t="n"/>
    </row>
    <row r="56">
      <c r="A56" s="36">
        <f>IF(OR($B56="",$C56=""),"",$B56&amp;"|"&amp;$C56)</f>
        <v/>
      </c>
      <c r="B56" s="22" t="n"/>
      <c r="C56" s="22" t="n"/>
      <c r="D56" s="24" t="n"/>
      <c r="F56" s="22" t="n"/>
      <c r="G56" s="55" t="n"/>
      <c r="H56" s="38" t="n"/>
      <c r="I56" s="30" t="n"/>
      <c r="K56" s="22" t="n"/>
      <c r="L56" s="22" t="n"/>
    </row>
    <row r="57">
      <c r="A57" s="36">
        <f>IF(OR($B57="",$C57=""),"",$B57&amp;"|"&amp;$C57)</f>
        <v/>
      </c>
      <c r="B57" s="22" t="n"/>
      <c r="C57" s="22" t="n"/>
      <c r="D57" s="24" t="n"/>
      <c r="F57" s="22" t="n"/>
      <c r="G57" s="55" t="n"/>
      <c r="H57" s="38" t="n"/>
      <c r="I57" s="30" t="n"/>
      <c r="K57" s="22" t="n"/>
      <c r="L57" s="22" t="n"/>
    </row>
    <row r="58">
      <c r="A58" s="36">
        <f>IF(OR($B58="",$C58=""),"",$B58&amp;"|"&amp;$C58)</f>
        <v/>
      </c>
      <c r="B58" s="22" t="n"/>
      <c r="C58" s="22" t="n"/>
      <c r="D58" s="24" t="n"/>
      <c r="F58" s="22" t="n"/>
      <c r="G58" s="55" t="n"/>
      <c r="H58" s="38" t="n"/>
      <c r="I58" s="30" t="n"/>
      <c r="K58" s="22" t="n"/>
      <c r="L58" s="22" t="n"/>
    </row>
    <row r="59">
      <c r="A59" s="36">
        <f>IF(OR($B59="",$C59=""),"",$B59&amp;"|"&amp;$C59)</f>
        <v/>
      </c>
      <c r="B59" s="22" t="n"/>
      <c r="C59" s="22" t="n"/>
      <c r="D59" s="24" t="n"/>
      <c r="F59" s="22" t="n"/>
      <c r="G59" s="55" t="n"/>
      <c r="H59" s="38" t="n"/>
      <c r="I59" s="30" t="n"/>
      <c r="K59" s="22" t="n"/>
      <c r="L59" s="22" t="n"/>
    </row>
    <row r="60">
      <c r="A60" s="36">
        <f>IF(OR($B60="",$C60=""),"",$B60&amp;"|"&amp;$C60)</f>
        <v/>
      </c>
      <c r="B60" s="22" t="n"/>
      <c r="C60" s="22" t="n"/>
      <c r="D60" s="24" t="n"/>
      <c r="F60" s="22" t="n"/>
      <c r="G60" s="55" t="n"/>
      <c r="H60" s="38" t="n"/>
      <c r="I60" s="30" t="n"/>
      <c r="K60" s="22" t="n"/>
      <c r="L60" s="22" t="n"/>
    </row>
    <row r="61">
      <c r="A61" s="36">
        <f>IF(OR($B61="",$C61=""),"",$B61&amp;"|"&amp;$C61)</f>
        <v/>
      </c>
      <c r="B61" s="22" t="n"/>
      <c r="C61" s="22" t="n"/>
      <c r="D61" s="24" t="n"/>
      <c r="F61" s="22" t="n"/>
      <c r="G61" s="55" t="n"/>
      <c r="H61" s="38" t="n"/>
      <c r="I61" s="30" t="n"/>
      <c r="K61" s="22" t="n"/>
      <c r="L61" s="22" t="n"/>
    </row>
    <row r="62">
      <c r="A62" s="36">
        <f>IF(OR($B62="",$C62=""),"",$B62&amp;"|"&amp;$C62)</f>
        <v/>
      </c>
      <c r="B62" s="22" t="n"/>
      <c r="C62" s="22" t="n"/>
      <c r="D62" s="24" t="n"/>
      <c r="F62" s="22" t="n"/>
      <c r="G62" s="55" t="n"/>
      <c r="H62" s="38" t="n"/>
      <c r="I62" s="30" t="n"/>
      <c r="K62" s="22" t="n"/>
      <c r="L62" s="22" t="n"/>
    </row>
    <row r="63">
      <c r="A63" s="36">
        <f>IF(OR($B63="",$C63=""),"",$B63&amp;"|"&amp;$C63)</f>
        <v/>
      </c>
      <c r="B63" s="22" t="n"/>
      <c r="C63" s="22" t="n"/>
      <c r="D63" s="24" t="n"/>
      <c r="F63" s="22" t="n"/>
      <c r="G63" s="55" t="n"/>
      <c r="H63" s="38" t="n"/>
      <c r="I63" s="30" t="n"/>
      <c r="K63" s="22" t="n"/>
      <c r="L63" s="22" t="n"/>
    </row>
    <row r="64">
      <c r="A64" s="36">
        <f>IF(OR($B64="",$C64=""),"",$B64&amp;"|"&amp;$C64)</f>
        <v/>
      </c>
      <c r="B64" s="22" t="n"/>
      <c r="C64" s="22" t="n"/>
      <c r="D64" s="24" t="n"/>
      <c r="F64" s="22" t="n"/>
      <c r="G64" s="55" t="n"/>
      <c r="H64" s="38" t="n"/>
      <c r="I64" s="30" t="n"/>
      <c r="K64" s="22" t="n"/>
      <c r="L64" s="22" t="n"/>
    </row>
    <row r="65">
      <c r="A65" s="36">
        <f>IF(OR($B65="",$C65=""),"",$B65&amp;"|"&amp;$C65)</f>
        <v/>
      </c>
      <c r="B65" s="22" t="n"/>
      <c r="C65" s="22" t="n"/>
      <c r="D65" s="24" t="n"/>
      <c r="F65" s="22" t="n"/>
      <c r="G65" s="55" t="n"/>
      <c r="H65" s="38" t="n"/>
      <c r="I65" s="30" t="n"/>
      <c r="K65" s="22" t="n"/>
      <c r="L65" s="22" t="n"/>
    </row>
    <row r="66">
      <c r="A66" s="36">
        <f>IF(OR($B66="",$C66=""),"",$B66&amp;"|"&amp;$C66)</f>
        <v/>
      </c>
      <c r="B66" s="22" t="n"/>
      <c r="C66" s="22" t="n"/>
      <c r="D66" s="24" t="n"/>
      <c r="F66" s="22" t="n"/>
      <c r="G66" s="55" t="n"/>
      <c r="H66" s="38" t="n"/>
      <c r="I66" s="30" t="n"/>
      <c r="K66" s="22" t="n"/>
      <c r="L66" s="22" t="n"/>
    </row>
    <row r="67">
      <c r="A67" s="36">
        <f>IF(OR($B67="",$C67=""),"",$B67&amp;"|"&amp;$C67)</f>
        <v/>
      </c>
      <c r="B67" s="22" t="n"/>
      <c r="C67" s="22" t="n"/>
      <c r="D67" s="24" t="n"/>
      <c r="F67" s="22" t="n"/>
      <c r="G67" s="55" t="n"/>
      <c r="H67" s="38" t="n"/>
      <c r="I67" s="30" t="n"/>
      <c r="K67" s="22" t="n"/>
      <c r="L67" s="22" t="n"/>
    </row>
    <row r="68">
      <c r="A68" s="36">
        <f>IF(OR($B68="",$C68=""),"",$B68&amp;"|"&amp;$C68)</f>
        <v/>
      </c>
      <c r="B68" s="22" t="n"/>
      <c r="C68" s="22" t="n"/>
      <c r="D68" s="24" t="n"/>
      <c r="F68" s="22" t="n"/>
      <c r="G68" s="55" t="n"/>
      <c r="H68" s="38" t="n"/>
      <c r="I68" s="30" t="n"/>
      <c r="K68" s="22" t="n"/>
      <c r="L68" s="22" t="n"/>
    </row>
    <row r="69">
      <c r="A69" s="36">
        <f>IF(OR($B69="",$C69=""),"",$B69&amp;"|"&amp;$C69)</f>
        <v/>
      </c>
      <c r="B69" s="22" t="n"/>
      <c r="C69" s="22" t="n"/>
      <c r="D69" s="24" t="n"/>
      <c r="F69" s="22" t="n"/>
      <c r="G69" s="55" t="n"/>
      <c r="H69" s="38" t="n"/>
      <c r="I69" s="30" t="n"/>
      <c r="K69" s="22" t="n"/>
      <c r="L69" s="22" t="n"/>
    </row>
    <row r="70">
      <c r="A70" s="36">
        <f>IF(OR($B70="",$C70=""),"",$B70&amp;"|"&amp;$C70)</f>
        <v/>
      </c>
      <c r="B70" s="22" t="n"/>
      <c r="C70" s="22" t="n"/>
      <c r="D70" s="24" t="n"/>
      <c r="F70" s="22" t="n"/>
      <c r="G70" s="55" t="n"/>
      <c r="H70" s="38" t="n"/>
      <c r="I70" s="30" t="n"/>
      <c r="K70" s="22" t="n"/>
      <c r="L70" s="22" t="n"/>
    </row>
    <row r="71">
      <c r="A71" s="36">
        <f>IF(OR($B71="",$C71=""),"",$B71&amp;"|"&amp;$C71)</f>
        <v/>
      </c>
      <c r="B71" s="22" t="n"/>
      <c r="C71" s="22" t="n"/>
      <c r="D71" s="24" t="n"/>
      <c r="F71" s="22" t="n"/>
      <c r="G71" s="55" t="n"/>
      <c r="H71" s="38" t="n"/>
      <c r="I71" s="30" t="n"/>
      <c r="K71" s="22" t="n"/>
      <c r="L71" s="22" t="n"/>
    </row>
    <row r="72">
      <c r="A72" s="36">
        <f>IF(OR($B72="",$C72=""),"",$B72&amp;"|"&amp;$C72)</f>
        <v/>
      </c>
      <c r="B72" s="22" t="n"/>
      <c r="C72" s="22" t="n"/>
      <c r="D72" s="24" t="n"/>
      <c r="F72" s="22" t="n"/>
      <c r="G72" s="55" t="n"/>
      <c r="H72" s="38" t="n"/>
      <c r="I72" s="30" t="n"/>
      <c r="K72" s="22" t="n"/>
      <c r="L72" s="22" t="n"/>
    </row>
    <row r="73">
      <c r="A73" s="36">
        <f>IF(OR($B73="",$C73=""),"",$B73&amp;"|"&amp;$C73)</f>
        <v/>
      </c>
      <c r="B73" s="22" t="n"/>
      <c r="C73" s="22" t="n"/>
      <c r="D73" s="24" t="n"/>
      <c r="F73" s="22" t="n"/>
      <c r="G73" s="55" t="n"/>
      <c r="H73" s="38" t="n"/>
      <c r="I73" s="30" t="n"/>
      <c r="K73" s="22" t="n"/>
      <c r="L73" s="22" t="n"/>
    </row>
    <row r="74">
      <c r="A74" s="36">
        <f>IF(OR($B74="",$C74=""),"",$B74&amp;"|"&amp;$C74)</f>
        <v/>
      </c>
      <c r="B74" s="22" t="n"/>
      <c r="C74" s="22" t="n"/>
      <c r="D74" s="24" t="n"/>
      <c r="F74" s="22" t="n"/>
      <c r="G74" s="55" t="n"/>
      <c r="H74" s="38" t="n"/>
      <c r="I74" s="30" t="n"/>
      <c r="K74" s="22" t="n"/>
      <c r="L74" s="22" t="n"/>
    </row>
    <row r="75">
      <c r="A75" s="36">
        <f>IF(OR($B75="",$C75=""),"",$B75&amp;"|"&amp;$C75)</f>
        <v/>
      </c>
      <c r="B75" s="22" t="n"/>
      <c r="C75" s="22" t="n"/>
      <c r="D75" s="24" t="n"/>
      <c r="F75" s="22" t="n"/>
      <c r="G75" s="55" t="n"/>
      <c r="H75" s="38" t="n"/>
      <c r="I75" s="30" t="n"/>
      <c r="K75" s="22" t="n"/>
      <c r="L75" s="22" t="n"/>
    </row>
    <row r="76">
      <c r="A76" s="36">
        <f>IF(OR($B76="",$C76=""),"",$B76&amp;"|"&amp;$C76)</f>
        <v/>
      </c>
      <c r="B76" s="22" t="n"/>
      <c r="C76" s="22" t="n"/>
      <c r="D76" s="24" t="n"/>
      <c r="F76" s="22" t="n"/>
      <c r="G76" s="55" t="n"/>
      <c r="H76" s="38" t="n"/>
      <c r="I76" s="30" t="n"/>
      <c r="K76" s="22" t="n"/>
      <c r="L76" s="22" t="n"/>
    </row>
    <row r="77">
      <c r="A77" s="36">
        <f>IF(OR($B77="",$C77=""),"",$B77&amp;"|"&amp;$C77)</f>
        <v/>
      </c>
      <c r="B77" s="22" t="n"/>
      <c r="C77" s="22" t="n"/>
      <c r="D77" s="24" t="n"/>
      <c r="F77" s="22" t="n"/>
      <c r="G77" s="55" t="n"/>
      <c r="H77" s="38" t="n"/>
      <c r="I77" s="30" t="n"/>
      <c r="K77" s="22" t="n"/>
      <c r="L77" s="22" t="n"/>
    </row>
    <row r="78">
      <c r="A78" s="36">
        <f>IF(OR($B78="",$C78=""),"",$B78&amp;"|"&amp;$C78)</f>
        <v/>
      </c>
      <c r="B78" s="22" t="n"/>
      <c r="C78" s="22" t="n"/>
      <c r="D78" s="24" t="n"/>
      <c r="F78" s="22" t="n"/>
      <c r="G78" s="55" t="n"/>
      <c r="H78" s="38" t="n"/>
      <c r="I78" s="30" t="n"/>
      <c r="K78" s="22" t="n"/>
      <c r="L78" s="22" t="n"/>
    </row>
    <row r="79">
      <c r="A79" s="36">
        <f>IF(OR($B79="",$C79=""),"",$B79&amp;"|"&amp;$C79)</f>
        <v/>
      </c>
      <c r="B79" s="22" t="n"/>
      <c r="C79" s="22" t="n"/>
      <c r="D79" s="24" t="n"/>
      <c r="F79" s="22" t="n"/>
      <c r="G79" s="55" t="n"/>
      <c r="H79" s="38" t="n"/>
      <c r="I79" s="30" t="n"/>
      <c r="K79" s="22" t="n"/>
      <c r="L79" s="22" t="n"/>
    </row>
    <row r="80">
      <c r="A80" s="36">
        <f>IF(OR($B80="",$C80=""),"",$B80&amp;"|"&amp;$C80)</f>
        <v/>
      </c>
      <c r="B80" s="22" t="n"/>
      <c r="C80" s="22" t="n"/>
      <c r="D80" s="24" t="n"/>
      <c r="F80" s="22" t="n"/>
      <c r="G80" s="55" t="n"/>
      <c r="H80" s="38" t="n"/>
      <c r="I80" s="30" t="n"/>
      <c r="K80" s="22" t="n"/>
      <c r="L80" s="22" t="n"/>
    </row>
    <row r="81">
      <c r="A81" s="36">
        <f>IF(OR($B81="",$C81=""),"",$B81&amp;"|"&amp;$C81)</f>
        <v/>
      </c>
      <c r="B81" s="22" t="n"/>
      <c r="C81" s="22" t="n"/>
      <c r="D81" s="24" t="n"/>
      <c r="F81" s="22" t="n"/>
      <c r="G81" s="55" t="n"/>
      <c r="H81" s="38" t="n"/>
      <c r="I81" s="30" t="n"/>
      <c r="K81" s="22" t="n"/>
      <c r="L81" s="22" t="n"/>
    </row>
    <row r="82">
      <c r="A82" s="36">
        <f>IF(OR($B82="",$C82=""),"",$B82&amp;"|"&amp;$C82)</f>
        <v/>
      </c>
      <c r="B82" s="22" t="n"/>
      <c r="C82" s="22" t="n"/>
      <c r="D82" s="24" t="n"/>
      <c r="F82" s="22" t="n"/>
      <c r="G82" s="55" t="n"/>
      <c r="H82" s="38" t="n"/>
      <c r="I82" s="30" t="n"/>
      <c r="K82" s="22" t="n"/>
      <c r="L82" s="22" t="n"/>
    </row>
    <row r="83">
      <c r="A83" s="36">
        <f>IF(OR($B83="",$C83=""),"",$B83&amp;"|"&amp;$C83)</f>
        <v/>
      </c>
      <c r="B83" s="22" t="n"/>
      <c r="C83" s="22" t="n"/>
      <c r="D83" s="24" t="n"/>
      <c r="F83" s="22" t="n"/>
      <c r="G83" s="55" t="n"/>
      <c r="H83" s="38" t="n"/>
      <c r="I83" s="30" t="n"/>
      <c r="K83" s="22" t="n"/>
      <c r="L83" s="22" t="n"/>
    </row>
    <row r="84">
      <c r="A84" s="36">
        <f>IF(OR($B84="",$C84=""),"",$B84&amp;"|"&amp;$C84)</f>
        <v/>
      </c>
      <c r="B84" s="22" t="n"/>
      <c r="C84" s="22" t="n"/>
      <c r="D84" s="24" t="n"/>
      <c r="F84" s="22" t="n"/>
      <c r="G84" s="55" t="n"/>
      <c r="H84" s="38" t="n"/>
      <c r="I84" s="30" t="n"/>
      <c r="K84" s="22" t="n"/>
      <c r="L84" s="22" t="n"/>
    </row>
    <row r="85">
      <c r="A85" s="36">
        <f>IF(OR($B85="",$C85=""),"",$B85&amp;"|"&amp;$C85)</f>
        <v/>
      </c>
      <c r="B85" s="22" t="n"/>
      <c r="C85" s="22" t="n"/>
      <c r="D85" s="24" t="n"/>
      <c r="F85" s="22" t="n"/>
      <c r="G85" s="55" t="n"/>
      <c r="H85" s="38" t="n"/>
      <c r="I85" s="30" t="n"/>
      <c r="K85" s="22" t="n"/>
      <c r="L85" s="22" t="n"/>
    </row>
    <row r="86">
      <c r="A86" s="36">
        <f>IF(OR($B86="",$C86=""),"",$B86&amp;"|"&amp;$C86)</f>
        <v/>
      </c>
      <c r="B86" s="22" t="n"/>
      <c r="C86" s="22" t="n"/>
      <c r="D86" s="24" t="n"/>
      <c r="F86" s="22" t="n"/>
      <c r="G86" s="55" t="n"/>
      <c r="H86" s="38" t="n"/>
      <c r="I86" s="30" t="n"/>
      <c r="K86" s="22" t="n"/>
      <c r="L86" s="22" t="n"/>
    </row>
    <row r="87">
      <c r="A87" s="36">
        <f>IF(OR($B87="",$C87=""),"",$B87&amp;"|"&amp;$C87)</f>
        <v/>
      </c>
      <c r="B87" s="22" t="n"/>
      <c r="C87" s="22" t="n"/>
      <c r="D87" s="24" t="n"/>
      <c r="F87" s="22" t="n"/>
      <c r="G87" s="55" t="n"/>
      <c r="H87" s="38" t="n"/>
      <c r="I87" s="30" t="n"/>
      <c r="K87" s="22" t="n"/>
      <c r="L87" s="22" t="n"/>
    </row>
    <row r="88">
      <c r="A88" s="36">
        <f>IF(OR($B88="",$C88=""),"",$B88&amp;"|"&amp;$C88)</f>
        <v/>
      </c>
      <c r="B88" s="22" t="n"/>
      <c r="C88" s="22" t="n"/>
      <c r="D88" s="24" t="n"/>
      <c r="F88" s="22" t="n"/>
      <c r="G88" s="55" t="n"/>
      <c r="H88" s="38" t="n"/>
      <c r="I88" s="30" t="n"/>
      <c r="K88" s="22" t="n"/>
      <c r="L88" s="22" t="n"/>
    </row>
    <row r="89">
      <c r="A89" s="36">
        <f>IF(OR($B89="",$C89=""),"",$B89&amp;"|"&amp;$C89)</f>
        <v/>
      </c>
      <c r="B89" s="22" t="n"/>
      <c r="C89" s="22" t="n"/>
      <c r="D89" s="24" t="n"/>
      <c r="F89" s="22" t="n"/>
      <c r="G89" s="55" t="n"/>
      <c r="H89" s="38" t="n"/>
      <c r="I89" s="30" t="n"/>
      <c r="K89" s="22" t="n"/>
      <c r="L89" s="22" t="n"/>
    </row>
    <row r="90">
      <c r="A90" s="36">
        <f>IF(OR($B90="",$C90=""),"",$B90&amp;"|"&amp;$C90)</f>
        <v/>
      </c>
      <c r="B90" s="22" t="n"/>
      <c r="C90" s="22" t="n"/>
      <c r="D90" s="24" t="n"/>
      <c r="F90" s="22" t="n"/>
      <c r="G90" s="55" t="n"/>
      <c r="H90" s="38" t="n"/>
      <c r="I90" s="30" t="n"/>
      <c r="K90" s="22" t="n"/>
      <c r="L90" s="22" t="n"/>
    </row>
    <row r="91">
      <c r="A91" s="36">
        <f>IF(OR($B91="",$C91=""),"",$B91&amp;"|"&amp;$C91)</f>
        <v/>
      </c>
      <c r="B91" s="22" t="n"/>
      <c r="C91" s="22" t="n"/>
      <c r="D91" s="24" t="n"/>
      <c r="F91" s="22" t="n"/>
      <c r="G91" s="55" t="n"/>
      <c r="H91" s="38" t="n"/>
      <c r="I91" s="30" t="n"/>
      <c r="K91" s="22" t="n"/>
      <c r="L91" s="22" t="n"/>
    </row>
    <row r="92">
      <c r="A92" s="36">
        <f>IF(OR($B92="",$C92=""),"",$B92&amp;"|"&amp;$C92)</f>
        <v/>
      </c>
      <c r="B92" s="22" t="n"/>
      <c r="C92" s="22" t="n"/>
      <c r="D92" s="24" t="n"/>
      <c r="F92" s="22" t="n"/>
      <c r="G92" s="55" t="n"/>
      <c r="H92" s="38" t="n"/>
      <c r="I92" s="30" t="n"/>
      <c r="K92" s="22" t="n"/>
      <c r="L92" s="22" t="n"/>
    </row>
    <row r="93">
      <c r="A93" s="36">
        <f>IF(OR($B93="",$C93=""),"",$B93&amp;"|"&amp;$C93)</f>
        <v/>
      </c>
      <c r="B93" s="22" t="n"/>
      <c r="C93" s="22" t="n"/>
      <c r="D93" s="24" t="n"/>
      <c r="F93" s="22" t="n"/>
      <c r="G93" s="55" t="n"/>
      <c r="H93" s="38" t="n"/>
      <c r="I93" s="30" t="n"/>
      <c r="K93" s="22" t="n"/>
      <c r="L93" s="22" t="n"/>
    </row>
    <row r="94">
      <c r="A94" s="36">
        <f>IF(OR($B94="",$C94=""),"",$B94&amp;"|"&amp;$C94)</f>
        <v/>
      </c>
      <c r="B94" s="22" t="n"/>
      <c r="C94" s="22" t="n"/>
      <c r="D94" s="24" t="n"/>
      <c r="F94" s="22" t="n"/>
      <c r="G94" s="55" t="n"/>
      <c r="H94" s="38" t="n"/>
      <c r="I94" s="30" t="n"/>
      <c r="K94" s="22" t="n"/>
      <c r="L94" s="22" t="n"/>
    </row>
    <row r="95">
      <c r="A95" s="36">
        <f>IF(OR($B95="",$C95=""),"",$B95&amp;"|"&amp;$C95)</f>
        <v/>
      </c>
      <c r="B95" s="22" t="n"/>
      <c r="C95" s="22" t="n"/>
      <c r="D95" s="24" t="n"/>
      <c r="F95" s="22" t="n"/>
      <c r="G95" s="55" t="n"/>
      <c r="H95" s="38" t="n"/>
      <c r="I95" s="30" t="n"/>
      <c r="K95" s="22" t="n"/>
      <c r="L95" s="22" t="n"/>
    </row>
    <row r="96">
      <c r="A96" s="36">
        <f>IF(OR($B96="",$C96=""),"",$B96&amp;"|"&amp;$C96)</f>
        <v/>
      </c>
      <c r="B96" s="22" t="n"/>
      <c r="C96" s="22" t="n"/>
      <c r="D96" s="24" t="n"/>
      <c r="F96" s="22" t="n"/>
      <c r="G96" s="55" t="n"/>
      <c r="H96" s="38" t="n"/>
      <c r="I96" s="30" t="n"/>
      <c r="K96" s="22" t="n"/>
      <c r="L96" s="22" t="n"/>
    </row>
    <row r="97">
      <c r="A97" s="36">
        <f>IF(OR($B97="",$C97=""),"",$B97&amp;"|"&amp;$C97)</f>
        <v/>
      </c>
      <c r="B97" s="22" t="n"/>
      <c r="C97" s="22" t="n"/>
      <c r="D97" s="24" t="n"/>
      <c r="F97" s="22" t="n"/>
      <c r="G97" s="55" t="n"/>
      <c r="H97" s="38" t="n"/>
      <c r="I97" s="30" t="n"/>
      <c r="K97" s="22" t="n"/>
      <c r="L97" s="22" t="n"/>
    </row>
    <row r="98">
      <c r="A98" s="36">
        <f>IF(OR($B98="",$C98=""),"",$B98&amp;"|"&amp;$C98)</f>
        <v/>
      </c>
      <c r="B98" s="22" t="n"/>
      <c r="C98" s="22" t="n"/>
      <c r="D98" s="24" t="n"/>
      <c r="F98" s="22" t="n"/>
      <c r="G98" s="55" t="n"/>
      <c r="H98" s="38" t="n"/>
      <c r="I98" s="30" t="n"/>
      <c r="K98" s="22" t="n"/>
      <c r="L98" s="22" t="n"/>
    </row>
    <row r="99">
      <c r="A99" s="36">
        <f>IF(OR($B99="",$C99=""),"",$B99&amp;"|"&amp;$C99)</f>
        <v/>
      </c>
      <c r="B99" s="22" t="n"/>
      <c r="C99" s="22" t="n"/>
      <c r="D99" s="24" t="n"/>
      <c r="F99" s="22" t="n"/>
      <c r="G99" s="55" t="n"/>
      <c r="H99" s="38" t="n"/>
      <c r="I99" s="30" t="n"/>
      <c r="K99" s="22" t="n"/>
      <c r="L99" s="22" t="n"/>
    </row>
    <row r="100">
      <c r="A100" s="36">
        <f>IF(OR($B100="",$C100=""),"",$B100&amp;"|"&amp;$C100)</f>
        <v/>
      </c>
      <c r="B100" s="22" t="n"/>
      <c r="C100" s="22" t="n"/>
      <c r="D100" s="24" t="n"/>
      <c r="F100" s="22" t="n"/>
      <c r="G100" s="55" t="n"/>
      <c r="H100" s="38" t="n"/>
      <c r="I100" s="30" t="n"/>
      <c r="K100" s="22" t="n"/>
      <c r="L100" s="22" t="n"/>
    </row>
    <row r="101">
      <c r="A101" s="36">
        <f>IF(OR($B101="",$C101=""),"",$B101&amp;"|"&amp;$C101)</f>
        <v/>
      </c>
      <c r="B101" s="22" t="n"/>
      <c r="C101" s="22" t="n"/>
      <c r="D101" s="24" t="n"/>
      <c r="F101" s="22" t="n"/>
      <c r="G101" s="55" t="n"/>
      <c r="H101" s="38" t="n"/>
      <c r="I101" s="30" t="n"/>
      <c r="K101" s="22" t="n"/>
      <c r="L101" s="22" t="n"/>
    </row>
    <row r="102">
      <c r="A102" s="36">
        <f>IF(OR($B102="",$C102=""),"",$B102&amp;"|"&amp;$C102)</f>
        <v/>
      </c>
      <c r="B102" s="22" t="n"/>
      <c r="C102" s="22" t="n"/>
      <c r="D102" s="24" t="n"/>
      <c r="F102" s="22" t="n"/>
      <c r="G102" s="55" t="n"/>
      <c r="H102" s="38" t="n"/>
      <c r="I102" s="30" t="n"/>
      <c r="K102" s="22" t="n"/>
      <c r="L102" s="22" t="n"/>
    </row>
    <row r="103">
      <c r="A103" s="36">
        <f>IF(OR($B103="",$C103=""),"",$B103&amp;"|"&amp;$C103)</f>
        <v/>
      </c>
      <c r="B103" s="22" t="n"/>
      <c r="C103" s="22" t="n"/>
      <c r="D103" s="24" t="n"/>
      <c r="F103" s="22" t="n"/>
      <c r="G103" s="55" t="n"/>
      <c r="H103" s="38" t="n"/>
      <c r="I103" s="30" t="n"/>
      <c r="K103" s="22" t="n"/>
      <c r="L103" s="22" t="n"/>
    </row>
    <row r="104">
      <c r="A104" s="36">
        <f>IF(OR($B104="",$C104=""),"",$B104&amp;"|"&amp;$C104)</f>
        <v/>
      </c>
      <c r="B104" s="22" t="n"/>
      <c r="C104" s="22" t="n"/>
      <c r="D104" s="24" t="n"/>
      <c r="F104" s="22" t="n"/>
      <c r="G104" s="55" t="n"/>
      <c r="H104" s="38" t="n"/>
      <c r="I104" s="30" t="n"/>
      <c r="K104" s="22" t="n"/>
      <c r="L104" s="22" t="n"/>
    </row>
    <row r="105">
      <c r="A105" s="36">
        <f>IF(OR($B105="",$C105=""),"",$B105&amp;"|"&amp;$C105)</f>
        <v/>
      </c>
      <c r="B105" s="22" t="n"/>
      <c r="C105" s="22" t="n"/>
      <c r="D105" s="24" t="n"/>
      <c r="F105" s="22" t="n"/>
      <c r="G105" s="55" t="n"/>
      <c r="H105" s="38" t="n"/>
      <c r="I105" s="30" t="n"/>
      <c r="K105" s="22" t="n"/>
      <c r="L105" s="22" t="n"/>
    </row>
    <row r="106">
      <c r="A106" s="36">
        <f>IF(OR($B106="",$C106=""),"",$B106&amp;"|"&amp;$C106)</f>
        <v/>
      </c>
      <c r="B106" s="22" t="n"/>
      <c r="C106" s="22" t="n"/>
      <c r="D106" s="24" t="n"/>
      <c r="F106" s="22" t="n"/>
      <c r="G106" s="55" t="n"/>
      <c r="H106" s="38" t="n"/>
      <c r="I106" s="30" t="n"/>
      <c r="K106" s="22" t="n"/>
      <c r="L106" s="22" t="n"/>
    </row>
    <row r="107">
      <c r="A107" s="36">
        <f>IF(OR($B107="",$C107=""),"",$B107&amp;"|"&amp;$C107)</f>
        <v/>
      </c>
      <c r="B107" s="22" t="n"/>
      <c r="C107" s="22" t="n"/>
      <c r="D107" s="24" t="n"/>
      <c r="F107" s="22" t="n"/>
      <c r="G107" s="55" t="n"/>
      <c r="H107" s="38" t="n"/>
      <c r="I107" s="30" t="n"/>
      <c r="K107" s="22" t="n"/>
      <c r="L107" s="22" t="n"/>
    </row>
    <row r="108">
      <c r="A108" s="36">
        <f>IF(OR($B108="",$C108=""),"",$B108&amp;"|"&amp;$C108)</f>
        <v/>
      </c>
      <c r="B108" s="22" t="n"/>
      <c r="C108" s="22" t="n"/>
      <c r="D108" s="24" t="n"/>
      <c r="F108" s="22" t="n"/>
      <c r="G108" s="55" t="n"/>
      <c r="H108" s="38" t="n"/>
      <c r="I108" s="30" t="n"/>
      <c r="K108" s="22" t="n"/>
      <c r="L108" s="22" t="n"/>
    </row>
    <row r="109">
      <c r="A109" s="36">
        <f>IF(OR($B109="",$C109=""),"",$B109&amp;"|"&amp;$C109)</f>
        <v/>
      </c>
      <c r="B109" s="22" t="n"/>
      <c r="C109" s="22" t="n"/>
      <c r="D109" s="24" t="n"/>
      <c r="F109" s="22" t="n"/>
      <c r="G109" s="55" t="n"/>
      <c r="H109" s="38" t="n"/>
      <c r="I109" s="30" t="n"/>
      <c r="K109" s="22" t="n"/>
      <c r="L109" s="22" t="n"/>
    </row>
    <row r="110">
      <c r="A110" s="36">
        <f>IF(OR($B110="",$C110=""),"",$B110&amp;"|"&amp;$C110)</f>
        <v/>
      </c>
      <c r="B110" s="22" t="n"/>
      <c r="C110" s="22" t="n"/>
      <c r="D110" s="24" t="n"/>
      <c r="F110" s="22" t="n"/>
      <c r="G110" s="55" t="n"/>
      <c r="H110" s="38" t="n"/>
      <c r="I110" s="30" t="n"/>
      <c r="K110" s="22" t="n"/>
      <c r="L110" s="22" t="n"/>
    </row>
  </sheetData>
  <mergeCells count="1">
    <mergeCell ref="A1:L1"/>
  </mergeCells>
  <conditionalFormatting sqref="A11:A110">
    <cfRule type="expression" priority="1" dxfId="0">
      <formula>AND($A11&lt;&gt;"",COUNTIF($A$11:$A$110,$A11)&gt;1)</formula>
    </cfRule>
  </conditionalFormatting>
  <conditionalFormatting sqref="F11:F110">
    <cfRule type="expression" priority="2" dxfId="0">
      <formula>AND($F11&lt;&gt;"",COUNTIF($F$11:$F$110,$F11)&gt;1)</formula>
    </cfRule>
  </conditionalFormatting>
  <conditionalFormatting sqref="K11:K110">
    <cfRule type="expression" priority="3" dxfId="0">
      <formula>AND($K11&lt;&gt;"",COUNTIF($K$11:$K$110,$K11)&gt;1)</formula>
    </cfRule>
  </conditionalFormatting>
  <dataValidations count="9">
    <dataValidation sqref="B4" showDropDown="0" showInputMessage="0" showErrorMessage="0" allowBlank="0" errorTitle="Invalid fuel economy" error="Enter fuel economy from 1 through 20 MPG." type="decimal" operator="between">
      <formula1>1</formula1>
      <formula2>20</formula2>
    </dataValidation>
    <dataValidation sqref="B5" showDropDown="0" showInputMessage="0" showErrorMessage="0" allowBlank="0" errorTitle="Invalid diesel price" error="Enter a diesel price from $0 through $20 per gallon." type="decimal" operator="between">
      <formula1>0</formula1>
      <formula2>20</formula2>
    </dataValidation>
    <dataValidation sqref="B6:B7" showDropDown="0" showInputMessage="0" showErrorMessage="0" allowBlank="0" errorTitle="Invalid hour setting" error="Enter an hour value from 0 through 48." type="decimal" operator="between">
      <formula1>0</formula1>
      <formula2>48</formula2>
    </dataValidation>
    <dataValidation sqref="B8" showDropDown="0" showInputMessage="0" showErrorMessage="0" allowBlank="0" errorTitle="Invalid planning horizon" error="Enter a planning horizon from 1 through 90 days." type="whole" operator="between">
      <formula1>1</formula1>
      <formula2>90</formula2>
    </dataValidation>
    <dataValidation sqref="B11:C110" showDropDown="0" showInputMessage="0" showErrorMessage="0" allowBlank="0" errorTitle="Unknown dock" error="Select a dock from the location list." type="list">
      <formula1>INDIRECT("'Settings &amp; Lists'!$K$11:$K$110")</formula1>
    </dataValidation>
    <dataValidation sqref="D11:D110" showDropDown="0" showInputMessage="0" showErrorMessage="0" allowBlank="0" errorTitle="Invalid mileage" error="Enter route miles from 1 through 3,000." type="whole" operator="between">
      <formula1>1</formula1>
      <formula2>3000</formula2>
    </dataValidation>
    <dataValidation sqref="G11:G110" showDropDown="0" showInputMessage="0" showErrorMessage="0" allowBlank="0" errorTitle="Invalid carrier rate" error="Enter a rate from $0.10 through $10.00 per mile." type="decimal" operator="between">
      <formula1>0.10</formula1>
      <formula2>10</formula2>
    </dataValidation>
    <dataValidation sqref="I11:I110" showDropDown="0" showInputMessage="0" showErrorMessage="0" allowBlank="0" errorTitle="Invalid service level" error="Select Standard, Priority, or Expedited." type="list">
      <formula1>"Standard,Priority,Expedited"</formula1>
    </dataValidation>
    <dataValidation sqref="L11:L110" showDropDown="0" showInputMessage="0" showErrorMessage="0" allowBlank="0" errorTitle="Invalid dock code" error="Enter a dock code containing 2 through 8 characters." type="custom">
      <formula1>OR(L11="",AND(LEN(L11)&gt;=2,LEN(L11)&lt;=8))</formula1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tabColor rgb="002A8C82"/>
    <outlinePr summaryBelow="1" summaryRight="1"/>
    <pageSetUpPr/>
  </sheetPr>
  <dimension ref="A1:H3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4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Instructions and Production Notes</t>
        </is>
      </c>
    </row>
    <row r="2" ht="42" customHeight="1">
      <c r="A2" s="3" t="inlineStr">
        <is>
          <t>This workbook is a planning tool for cross-dock transfer scheduling. It does not use live integrations and does not represent legal, tax, safety, DOT, FMCSA, or regulatory guidance.</t>
        </is>
      </c>
    </row>
    <row r="4">
      <c r="A4" s="10" t="inlineStr">
        <is>
          <t>Recommended Workflow</t>
        </is>
      </c>
      <c r="B4" s="10" t="n"/>
      <c r="C4" s="10" t="n"/>
      <c r="D4" s="10" t="n"/>
      <c r="E4" s="10" t="n"/>
      <c r="F4" s="10" t="n"/>
      <c r="G4" s="10" t="n"/>
      <c r="H4" s="10" t="n"/>
    </row>
    <row r="5" ht="35" customHeight="1">
      <c r="A5" s="39" t="inlineStr">
        <is>
          <t>1</t>
        </is>
      </c>
      <c r="B5" s="40" t="inlineStr">
        <is>
          <t>Review settings</t>
        </is>
      </c>
      <c r="C5" s="32" t="inlineStr">
        <is>
          <t>Confirm fuel economy, diesel price, dwell preference, late-arrival grace, route miles, carrier rates, and location lists.</t>
        </is>
      </c>
      <c r="D5" s="32" t="n"/>
      <c r="E5" s="32" t="n"/>
      <c r="F5" s="32" t="n"/>
      <c r="G5" s="32" t="n"/>
      <c r="H5" s="32" t="n"/>
    </row>
    <row r="6" ht="35" customHeight="1">
      <c r="A6" s="39" t="inlineStr">
        <is>
          <t>2</t>
        </is>
      </c>
      <c r="B6" s="40" t="inlineStr">
        <is>
          <t>Enter transfer details</t>
        </is>
      </c>
      <c r="C6" s="32" t="inlineStr">
        <is>
          <t>Use the mint cells on Transfer Schedule. Each transfer ID should be unique.</t>
        </is>
      </c>
      <c r="D6" s="32" t="n"/>
      <c r="E6" s="32" t="n"/>
      <c r="F6" s="32" t="n"/>
      <c r="G6" s="32" t="n"/>
      <c r="H6" s="32" t="n"/>
    </row>
    <row r="7" ht="35" customHeight="1">
      <c r="A7" s="39" t="inlineStr">
        <is>
          <t>3</t>
        </is>
      </c>
      <c r="B7" s="40" t="inlineStr">
        <is>
          <t>Plan dock timing</t>
        </is>
      </c>
      <c r="C7" s="32" t="inlineStr">
        <is>
          <t>Enter planned arrival and departure times, dock door, priority, pallets, cases, and weight.</t>
        </is>
      </c>
      <c r="D7" s="32" t="n"/>
      <c r="E7" s="32" t="n"/>
      <c r="F7" s="32" t="n"/>
      <c r="G7" s="32" t="n"/>
      <c r="H7" s="32" t="n"/>
    </row>
    <row r="8" ht="35" customHeight="1">
      <c r="A8" s="39" t="inlineStr">
        <is>
          <t>4</t>
        </is>
      </c>
      <c r="B8" s="40" t="inlineStr">
        <is>
          <t>Record execution</t>
        </is>
      </c>
      <c r="C8" s="32" t="inlineStr">
        <is>
          <t>Enter actual arrival and departure times as activity occurs.</t>
        </is>
      </c>
      <c r="D8" s="32" t="n"/>
      <c r="E8" s="32" t="n"/>
      <c r="F8" s="32" t="n"/>
      <c r="G8" s="32" t="n"/>
      <c r="H8" s="32" t="n"/>
    </row>
    <row r="9" ht="35" customHeight="1">
      <c r="A9" s="39" t="inlineStr">
        <is>
          <t>5</t>
        </is>
      </c>
      <c r="B9" s="40" t="inlineStr">
        <is>
          <t>Review exceptions</t>
        </is>
      </c>
      <c r="C9" s="32" t="inlineStr">
        <is>
          <t>Filter Status for Late Arrival or At Dock - Late, and review orange-highlighted cells.</t>
        </is>
      </c>
      <c r="D9" s="32" t="n"/>
      <c r="E9" s="32" t="n"/>
      <c r="F9" s="32" t="n"/>
      <c r="G9" s="32" t="n"/>
      <c r="H9" s="32" t="n"/>
    </row>
    <row r="10" ht="35" customHeight="1">
      <c r="A10" s="39" t="inlineStr">
        <is>
          <t>6</t>
        </is>
      </c>
      <c r="B10" s="40" t="inlineStr">
        <is>
          <t>Use estimates carefully</t>
        </is>
      </c>
      <c r="C10" s="32" t="inlineStr">
        <is>
          <t>Fuel, linehaul, and total cost are planning estimates based on editable assumptions.</t>
        </is>
      </c>
      <c r="D10" s="32" t="n"/>
      <c r="E10" s="32" t="n"/>
      <c r="F10" s="32" t="n"/>
      <c r="G10" s="32" t="n"/>
      <c r="H10" s="32" t="n"/>
    </row>
    <row r="12">
      <c r="A12" s="10" t="inlineStr">
        <is>
          <t>Input and Formula Guide</t>
        </is>
      </c>
      <c r="B12" s="10" t="n"/>
      <c r="C12" s="10" t="n"/>
      <c r="D12" s="10" t="n"/>
      <c r="E12" s="10" t="n"/>
      <c r="F12" s="10" t="n"/>
      <c r="G12" s="10" t="n"/>
      <c r="H12" s="10" t="n"/>
    </row>
    <row r="13" ht="32" customHeight="1">
      <c r="A13" s="40" t="inlineStr">
        <is>
          <t>Mint cells</t>
        </is>
      </c>
      <c r="B13" s="32" t="inlineStr">
        <is>
          <t>Editable user inputs and assumptions.</t>
        </is>
      </c>
      <c r="C13" s="32" t="n"/>
      <c r="D13" s="32" t="n"/>
      <c r="E13" s="32" t="n"/>
      <c r="F13" s="32" t="n"/>
      <c r="G13" s="32" t="n"/>
      <c r="H13" s="32" t="n"/>
    </row>
    <row r="14" ht="32" customHeight="1">
      <c r="A14" s="40" t="inlineStr">
        <is>
          <t>Light cells</t>
        </is>
      </c>
      <c r="B14" s="32" t="inlineStr">
        <is>
          <t>Calculated outputs or reference text.</t>
        </is>
      </c>
      <c r="C14" s="32" t="n"/>
      <c r="D14" s="32" t="n"/>
      <c r="E14" s="32" t="n"/>
      <c r="F14" s="32" t="n"/>
      <c r="G14" s="32" t="n"/>
      <c r="H14" s="32" t="n"/>
    </row>
    <row r="15" ht="32" customHeight="1">
      <c r="A15" s="40" t="inlineStr">
        <is>
          <t>Route Miles</t>
        </is>
      </c>
      <c r="B15" s="32" t="inlineStr">
        <is>
          <t>Uses the Origin Dock and Destination Dock to look up the lane mileage.</t>
        </is>
      </c>
      <c r="C15" s="32" t="n"/>
      <c r="D15" s="32" t="n"/>
      <c r="E15" s="32" t="n"/>
      <c r="F15" s="32" t="n"/>
      <c r="G15" s="32" t="n"/>
      <c r="H15" s="32" t="n"/>
    </row>
    <row r="16" ht="32" customHeight="1">
      <c r="A16" s="40" t="inlineStr">
        <is>
          <t>Status</t>
        </is>
      </c>
      <c r="B16" s="32" t="inlineStr">
        <is>
          <t>Uses planned and actual timestamps plus the editable late-arrival grace setting.</t>
        </is>
      </c>
      <c r="C16" s="32" t="n"/>
      <c r="D16" s="32" t="n"/>
      <c r="E16" s="32" t="n"/>
      <c r="F16" s="32" t="n"/>
      <c r="G16" s="32" t="n"/>
      <c r="H16" s="32" t="n"/>
    </row>
    <row r="17" ht="32" customHeight="1">
      <c r="A17" s="40" t="inlineStr">
        <is>
          <t>Dwell Hours</t>
        </is>
      </c>
      <c r="B17" s="32" t="inlineStr">
        <is>
          <t>Measures hours from actual arrival to actual departure, or to the current time while the trailer remains at dock.</t>
        </is>
      </c>
      <c r="C17" s="32" t="n"/>
      <c r="D17" s="32" t="n"/>
      <c r="E17" s="32" t="n"/>
      <c r="F17" s="32" t="n"/>
      <c r="G17" s="32" t="n"/>
      <c r="H17" s="32" t="n"/>
    </row>
    <row r="18" ht="32" customHeight="1">
      <c r="A18" s="40" t="inlineStr">
        <is>
          <t>Planned Gallons</t>
        </is>
      </c>
      <c r="B18" s="32" t="inlineStr">
        <is>
          <t>Route miles divided by the editable default fuel economy.</t>
        </is>
      </c>
      <c r="C18" s="32" t="n"/>
      <c r="D18" s="32" t="n"/>
      <c r="E18" s="32" t="n"/>
      <c r="F18" s="32" t="n"/>
      <c r="G18" s="32" t="n"/>
      <c r="H18" s="32" t="n"/>
    </row>
    <row r="19" ht="32" customHeight="1">
      <c r="A19" s="40" t="inlineStr">
        <is>
          <t>Est. Fuel Cost</t>
        </is>
      </c>
      <c r="B19" s="32" t="inlineStr">
        <is>
          <t>Planned gallons multiplied by the editable diesel price.</t>
        </is>
      </c>
      <c r="C19" s="32" t="n"/>
      <c r="D19" s="32" t="n"/>
      <c r="E19" s="32" t="n"/>
      <c r="F19" s="32" t="n"/>
      <c r="G19" s="32" t="n"/>
      <c r="H19" s="32" t="n"/>
    </row>
    <row r="20" ht="32" customHeight="1">
      <c r="A20" s="40" t="inlineStr">
        <is>
          <t>Est. Linehaul</t>
        </is>
      </c>
      <c r="B20" s="32" t="inlineStr">
        <is>
          <t>Route miles multiplied by the selected carrier's editable rate per mile.</t>
        </is>
      </c>
      <c r="C20" s="32" t="n"/>
      <c r="D20" s="32" t="n"/>
      <c r="E20" s="32" t="n"/>
      <c r="F20" s="32" t="n"/>
      <c r="G20" s="32" t="n"/>
      <c r="H20" s="32" t="n"/>
    </row>
    <row r="21" ht="32" customHeight="1">
      <c r="A21" s="40" t="inlineStr">
        <is>
          <t>Total Est. Cost</t>
        </is>
      </c>
      <c r="B21" s="32" t="inlineStr">
        <is>
          <t>Estimated fuel cost plus estimated linehaul.</t>
        </is>
      </c>
      <c r="C21" s="32" t="n"/>
      <c r="D21" s="32" t="n"/>
      <c r="E21" s="32" t="n"/>
      <c r="F21" s="32" t="n"/>
      <c r="G21" s="32" t="n"/>
      <c r="H21" s="32" t="n"/>
    </row>
    <row r="23">
      <c r="A23" s="10" t="inlineStr">
        <is>
          <t>Final Review Checklist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34" customHeight="1">
      <c r="A24" s="41" t="inlineStr">
        <is>
          <t>□</t>
        </is>
      </c>
      <c r="B24" s="40" t="inlineStr">
        <is>
          <t>Transfer IDs</t>
        </is>
      </c>
      <c r="C24" s="32" t="inlineStr">
        <is>
          <t>Confirm every active row has a unique transfer ID.</t>
        </is>
      </c>
      <c r="D24" s="32" t="n"/>
      <c r="E24" s="32" t="n"/>
      <c r="F24" s="32" t="n"/>
      <c r="G24" s="32" t="n"/>
      <c r="H24" s="32" t="n"/>
    </row>
    <row r="25" ht="34" customHeight="1">
      <c r="A25" s="41" t="inlineStr">
        <is>
          <t>□</t>
        </is>
      </c>
      <c r="B25" s="40" t="inlineStr">
        <is>
          <t>Route match</t>
        </is>
      </c>
      <c r="C25" s="32" t="inlineStr">
        <is>
          <t>Resolve any blank or orange Route Miles cell by adding or correcting the lane.</t>
        </is>
      </c>
      <c r="D25" s="32" t="n"/>
      <c r="E25" s="32" t="n"/>
      <c r="F25" s="32" t="n"/>
      <c r="G25" s="32" t="n"/>
      <c r="H25" s="32" t="n"/>
    </row>
    <row r="26" ht="34" customHeight="1">
      <c r="A26" s="41" t="inlineStr">
        <is>
          <t>□</t>
        </is>
      </c>
      <c r="B26" s="40" t="inlineStr">
        <is>
          <t>Carrier rate</t>
        </is>
      </c>
      <c r="C26" s="32" t="inlineStr">
        <is>
          <t>Confirm the carrier exists in Settings &amp; Lists and has a current planning rate.</t>
        </is>
      </c>
      <c r="D26" s="32" t="n"/>
      <c r="E26" s="32" t="n"/>
      <c r="F26" s="32" t="n"/>
      <c r="G26" s="32" t="n"/>
      <c r="H26" s="32" t="n"/>
    </row>
    <row r="27" ht="34" customHeight="1">
      <c r="A27" s="41" t="inlineStr">
        <is>
          <t>□</t>
        </is>
      </c>
      <c r="B27" s="40" t="inlineStr">
        <is>
          <t>Times</t>
        </is>
      </c>
      <c r="C27" s="32" t="inlineStr">
        <is>
          <t>Check that planned departure follows planned arrival and actual timestamps are entered when available.</t>
        </is>
      </c>
      <c r="D27" s="32" t="n"/>
      <c r="E27" s="32" t="n"/>
      <c r="F27" s="32" t="n"/>
      <c r="G27" s="32" t="n"/>
      <c r="H27" s="32" t="n"/>
    </row>
    <row r="28" ht="34" customHeight="1">
      <c r="A28" s="41" t="inlineStr">
        <is>
          <t>□</t>
        </is>
      </c>
      <c r="B28" s="40" t="inlineStr">
        <is>
          <t>Capacity</t>
        </is>
      </c>
      <c r="C28" s="32" t="inlineStr">
        <is>
          <t>Review pallets, cases, weight, dock door assignments, and overlapping planned times.</t>
        </is>
      </c>
      <c r="D28" s="32" t="n"/>
      <c r="E28" s="32" t="n"/>
      <c r="F28" s="32" t="n"/>
      <c r="G28" s="32" t="n"/>
      <c r="H28" s="32" t="n"/>
    </row>
    <row r="29" ht="34" customHeight="1">
      <c r="A29" s="41" t="inlineStr">
        <is>
          <t>□</t>
        </is>
      </c>
      <c r="B29" s="40" t="inlineStr">
        <is>
          <t>Exceptions</t>
        </is>
      </c>
      <c r="C29" s="32" t="inlineStr">
        <is>
          <t>Investigate Late Arrival, At Dock - Late, urgent priority, and dwell above the preferred target.</t>
        </is>
      </c>
      <c r="D29" s="32" t="n"/>
      <c r="E29" s="32" t="n"/>
      <c r="F29" s="32" t="n"/>
      <c r="G29" s="32" t="n"/>
      <c r="H29" s="32" t="n"/>
    </row>
    <row r="30" ht="34" customHeight="1">
      <c r="A30" s="41" t="inlineStr">
        <is>
          <t>□</t>
        </is>
      </c>
      <c r="B30" s="40" t="inlineStr">
        <is>
          <t>Estimates</t>
        </is>
      </c>
      <c r="C30" s="32" t="inlineStr">
        <is>
          <t>Validate planning estimates against current internal quotes or invoices before business use.</t>
        </is>
      </c>
      <c r="D30" s="32" t="n"/>
      <c r="E30" s="32" t="n"/>
      <c r="F30" s="32" t="n"/>
      <c r="G30" s="32" t="n"/>
      <c r="H30" s="32" t="n"/>
    </row>
    <row r="32">
      <c r="A32" s="10" t="inlineStr">
        <is>
          <t>Workbook Scope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 ht="36" customHeight="1">
      <c r="A33" s="40" t="inlineStr">
        <is>
          <t>Prepared rows</t>
        </is>
      </c>
      <c r="B33" s="32" t="inlineStr">
        <is>
          <t>Transfer Schedule includes 100 usable rows. Lane, carrier, and location directories each include 100 usable rows.</t>
        </is>
      </c>
      <c r="C33" s="32" t="n"/>
      <c r="D33" s="32" t="n"/>
      <c r="E33" s="32" t="n"/>
      <c r="F33" s="32" t="n"/>
      <c r="G33" s="32" t="n"/>
      <c r="H33" s="32" t="n"/>
    </row>
    <row r="34" ht="36" customHeight="1">
      <c r="A34" s="40" t="inlineStr">
        <is>
          <t>Calculation</t>
        </is>
      </c>
      <c r="B34" s="32" t="inlineStr">
        <is>
          <t>Excel is set to recalculate formulas automatically when the workbook opens.</t>
        </is>
      </c>
      <c r="C34" s="32" t="n"/>
      <c r="D34" s="32" t="n"/>
      <c r="E34" s="32" t="n"/>
      <c r="F34" s="32" t="n"/>
      <c r="G34" s="32" t="n"/>
      <c r="H34" s="32" t="n"/>
    </row>
    <row r="35" ht="36" customHeight="1">
      <c r="A35" s="40" t="inlineStr">
        <is>
          <t>Units</t>
        </is>
      </c>
      <c r="B35" s="32" t="inlineStr">
        <is>
          <t>The workbook uses U.S. dollars, miles, gallons, pounds, and U.S. date formats.</t>
        </is>
      </c>
      <c r="C35" s="32" t="n"/>
      <c r="D35" s="32" t="n"/>
      <c r="E35" s="32" t="n"/>
      <c r="F35" s="32" t="n"/>
      <c r="G35" s="32" t="n"/>
      <c r="H35" s="32" t="n"/>
    </row>
    <row r="36" ht="36" customHeight="1">
      <c r="A36" s="40" t="inlineStr">
        <is>
          <t>Data source</t>
        </is>
      </c>
      <c r="B36" s="32" t="inlineStr">
        <is>
          <t>All sample and reference data is stored in this workbook; there are no live carrier, telematics, fuel, or dock-system connections.</t>
        </is>
      </c>
      <c r="C36" s="32" t="n"/>
      <c r="D36" s="32" t="n"/>
      <c r="E36" s="32" t="n"/>
      <c r="F36" s="32" t="n"/>
      <c r="G36" s="32" t="n"/>
      <c r="H36" s="32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Cross Dock Transfer Schedule</dc:title>
  <dc:description xmlns:dc="http://purl.org/dc/elements/1.1/">An editable U.S. English workbook for planning cross-dock transfers.</dc:description>
  <dc:subject xmlns:dc="http://purl.org/dc/elements/1.1/">Cross-dock transfer planning, dock timing, mileage, gallons, and estimated cost</dc:subject>
  <dcterms:created xmlns:dcterms="http://purl.org/dc/terms/" xmlns:xsi="http://www.w3.org/2001/XMLSchema-instance" xsi:type="dcterms:W3CDTF">2026-09-08T02:05:56Z</dcterms:created>
  <dcterms:modified xmlns:dcterms="http://purl.org/dc/terms/" xmlns:xsi="http://www.w3.org/2001/XMLSchema-instance" xsi:type="dcterms:W3CDTF">2026-09-08T02:05:58+00:00Z</dcterms:modified>
</cp:coreProperties>
</file>