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lanner" sheetId="2" state="visible" r:id="rId2"/>
    <sheet xmlns:r="http://schemas.openxmlformats.org/officeDocument/2006/relationships" name="Opportunitie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'Dashboard'!$A$1:$P$36</definedName>
    <definedName name="_xlnm.Print_Area" localSheetId="1">'Planner'!$A$1:$AL$15</definedName>
    <definedName name="_xlnm.Print_Area" localSheetId="2">'Opportunities'!$A$1:$AM$15</definedName>
    <definedName name="_xlnm._FilterDatabase" localSheetId="3" hidden="1">'Settings'!$A$3:$C$17</definedName>
    <definedName name="_xlnm.Print_Area" localSheetId="3">'Settings'!$A$1:$C$17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2">
    <numFmt numFmtId="164" formatCode="m/d/yyyy"/>
    <numFmt numFmtId="165" formatCode="0.0%"/>
    <numFmt numFmtId="166" formatCode="$#,##0.00;[Red]-$#,##0.00"/>
    <numFmt numFmtId="167" formatCode="#,##0 &quot;mi&quot;"/>
    <numFmt numFmtId="168" formatCode="#,##0.0 &quot;gal&quot;"/>
    <numFmt numFmtId="169" formatCode="$0.00"/>
    <numFmt numFmtId="170" formatCode="0.0 &quot;hr&quot;"/>
    <numFmt numFmtId="171" formatCode="#,##0 &quot;lb&quot;"/>
    <numFmt numFmtId="172" formatCode="m/d/yyyy h:mm AM/PM"/>
    <numFmt numFmtId="173" formatCode="0.0"/>
    <numFmt numFmtId="174" formatCode="0 &quot;mph&quot;"/>
    <numFmt numFmtId="175" formatCode="0 &quot;day(s)&quot;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20313A"/>
      <sz val="10"/>
    </font>
    <font>
      <name val="Aptos"/>
      <b val="1"/>
      <color rgb="00FFFFFF"/>
      <sz val="10"/>
    </font>
    <font>
      <name val="Aptos"/>
      <color rgb="0020313A"/>
      <sz val="10"/>
    </font>
    <font>
      <name val="Aptos"/>
      <b val="1"/>
      <color rgb="0020313A"/>
      <sz val="10"/>
    </font>
    <font>
      <name val="Aptos Display"/>
      <b val="1"/>
      <color rgb="00123B52"/>
      <sz val="17"/>
    </font>
    <font>
      <name val="Aptos"/>
      <b val="1"/>
      <color rgb="00123B52"/>
      <sz val="13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FFF4CC"/>
      </patternFill>
    </fill>
    <fill>
      <patternFill patternType="solid">
        <fgColor rgb="00DDEBF7"/>
      </patternFill>
    </fill>
    <fill>
      <patternFill patternType="solid">
        <fgColor rgb="00FCE8C3"/>
      </patternFill>
    </fill>
    <fill>
      <patternFill patternType="solid">
        <fgColor rgb="00E0F3EF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8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5" fillId="0" borderId="0" pivotButton="0" quotePrefix="0" xfId="0"/>
    <xf numFmtId="164" fontId="5" fillId="0" borderId="0" pivotButton="0" quotePrefix="0" xfId="0"/>
    <xf numFmtId="0" fontId="5" fillId="8" borderId="1" applyAlignment="1" pivotButton="0" quotePrefix="0" xfId="0">
      <alignment vertical="center" wrapText="1"/>
    </xf>
    <xf numFmtId="0" fontId="4" fillId="8" borderId="1" applyAlignment="1" pivotButton="0" quotePrefix="0" xfId="0">
      <alignment vertical="center" wrapText="1"/>
    </xf>
    <xf numFmtId="1" fontId="6" fillId="8" borderId="1" applyAlignment="1" pivotButton="0" quotePrefix="0" xfId="0">
      <alignment vertical="center"/>
    </xf>
    <xf numFmtId="165" fontId="6" fillId="8" borderId="1" applyAlignment="1" pivotButton="0" quotePrefix="0" xfId="0">
      <alignment vertical="center"/>
    </xf>
    <xf numFmtId="166" fontId="6" fillId="8" borderId="1" applyAlignment="1" pivotButton="0" quotePrefix="0" xfId="0">
      <alignment vertical="center"/>
    </xf>
    <xf numFmtId="167" fontId="6" fillId="8" borderId="1" applyAlignment="1" pivotButton="0" quotePrefix="0" xfId="0">
      <alignment vertical="center"/>
    </xf>
    <xf numFmtId="168" fontId="6" fillId="8" borderId="1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1" fontId="4" fillId="3" borderId="1" applyAlignment="1" pivotButton="0" quotePrefix="0" xfId="0">
      <alignment vertical="center"/>
    </xf>
    <xf numFmtId="166" fontId="4" fillId="3" borderId="1" applyAlignment="1" pivotButton="0" quotePrefix="0" xfId="0">
      <alignment vertical="center"/>
    </xf>
    <xf numFmtId="167" fontId="4" fillId="3" borderId="1" applyAlignment="1" pivotButton="0" quotePrefix="0" xfId="0">
      <alignment vertical="center"/>
    </xf>
    <xf numFmtId="0" fontId="5" fillId="8" borderId="1" applyAlignment="1" pivotButton="0" quotePrefix="0" xfId="0">
      <alignment vertical="center"/>
    </xf>
    <xf numFmtId="1" fontId="5" fillId="8" borderId="1" applyAlignment="1" pivotButton="0" quotePrefix="0" xfId="0">
      <alignment vertical="center"/>
    </xf>
    <xf numFmtId="166" fontId="5" fillId="8" borderId="1" applyAlignment="1" pivotButton="0" quotePrefix="0" xfId="0">
      <alignment vertical="center"/>
    </xf>
    <xf numFmtId="167" fontId="5" fillId="8" borderId="1" applyAlignment="1" pivotButton="0" quotePrefix="0" xfId="0">
      <alignment vertical="center"/>
    </xf>
    <xf numFmtId="0" fontId="5" fillId="6" borderId="1" applyAlignment="1" pivotButton="0" quotePrefix="0" xfId="0">
      <alignment vertical="center"/>
    </xf>
    <xf numFmtId="169" fontId="5" fillId="6" borderId="1" applyAlignment="1" pivotButton="0" quotePrefix="0" xfId="0">
      <alignment vertical="center"/>
    </xf>
    <xf numFmtId="0" fontId="5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1" fontId="5" fillId="3" borderId="1" applyAlignment="1" pivotButton="0" quotePrefix="0" xfId="0">
      <alignment vertical="center" wrapText="1"/>
    </xf>
    <xf numFmtId="1" fontId="7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18" fontId="4" fillId="5" borderId="1" applyAlignment="1" pivotButton="0" quotePrefix="0" xfId="0">
      <alignment vertical="center"/>
    </xf>
    <xf numFmtId="167" fontId="4" fillId="5" borderId="1" applyAlignment="1" pivotButton="0" quotePrefix="0" xfId="0">
      <alignment vertical="center"/>
    </xf>
    <xf numFmtId="0" fontId="4" fillId="6" borderId="1" applyAlignment="1" pivotButton="0" quotePrefix="0" xfId="0">
      <alignment vertical="center"/>
    </xf>
    <xf numFmtId="164" fontId="4" fillId="6" borderId="1" applyAlignment="1" pivotButton="0" quotePrefix="0" xfId="0">
      <alignment vertical="center"/>
    </xf>
    <xf numFmtId="18" fontId="4" fillId="6" borderId="1" applyAlignment="1" pivotButton="0" quotePrefix="0" xfId="0">
      <alignment vertical="center"/>
    </xf>
    <xf numFmtId="167" fontId="4" fillId="6" borderId="1" applyAlignment="1" pivotButton="0" quotePrefix="0" xfId="0">
      <alignment vertical="center"/>
    </xf>
    <xf numFmtId="166" fontId="4" fillId="6" borderId="1" applyAlignment="1" pivotButton="0" quotePrefix="0" xfId="0">
      <alignment vertical="center"/>
    </xf>
    <xf numFmtId="169" fontId="4" fillId="6" borderId="1" applyAlignment="1" pivotButton="0" quotePrefix="0" xfId="0">
      <alignment vertical="center"/>
    </xf>
    <xf numFmtId="168" fontId="4" fillId="6" borderId="1" applyAlignment="1" pivotButton="0" quotePrefix="0" xfId="0">
      <alignment vertical="center"/>
    </xf>
    <xf numFmtId="170" fontId="4" fillId="6" borderId="1" applyAlignment="1" pivotButton="0" quotePrefix="0" xfId="0">
      <alignment vertical="center"/>
    </xf>
    <xf numFmtId="0" fontId="4" fillId="5" borderId="1" applyAlignment="1" pivotButton="0" quotePrefix="0" xfId="0">
      <alignment vertical="top" wrapText="1"/>
    </xf>
    <xf numFmtId="171" fontId="4" fillId="5" borderId="1" applyAlignment="1" pivotButton="0" quotePrefix="0" xfId="0">
      <alignment vertical="center"/>
    </xf>
    <xf numFmtId="170" fontId="4" fillId="5" borderId="1" applyAlignment="1" pivotButton="0" quotePrefix="0" xfId="0">
      <alignment vertical="center"/>
    </xf>
    <xf numFmtId="166" fontId="4" fillId="5" borderId="1" applyAlignment="1" pivotButton="0" quotePrefix="0" xfId="0">
      <alignment vertical="center"/>
    </xf>
    <xf numFmtId="172" fontId="4" fillId="5" borderId="1" applyAlignment="1" pivotButton="0" quotePrefix="0" xfId="0">
      <alignment vertical="center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6" fontId="4" fillId="5" borderId="1" applyAlignment="1" pivotButton="0" quotePrefix="0" xfId="0">
      <alignment vertical="center" wrapText="1"/>
    </xf>
    <xf numFmtId="173" fontId="4" fillId="5" borderId="1" applyAlignment="1" pivotButton="0" quotePrefix="0" xfId="0">
      <alignment vertical="center" wrapText="1"/>
    </xf>
    <xf numFmtId="169" fontId="4" fillId="5" borderId="1" applyAlignment="1" pivotButton="0" quotePrefix="0" xfId="0">
      <alignment vertical="center" wrapText="1"/>
    </xf>
    <xf numFmtId="167" fontId="4" fillId="5" borderId="1" applyAlignment="1" pivotButton="0" quotePrefix="0" xfId="0">
      <alignment vertical="center" wrapText="1"/>
    </xf>
    <xf numFmtId="174" fontId="4" fillId="5" borderId="1" applyAlignment="1" pivotButton="0" quotePrefix="0" xfId="0">
      <alignment vertical="center" wrapText="1"/>
    </xf>
    <xf numFmtId="170" fontId="4" fillId="5" borderId="1" applyAlignment="1" pivotButton="0" quotePrefix="0" xfId="0">
      <alignment vertical="center" wrapText="1"/>
    </xf>
    <xf numFmtId="175" fontId="4" fillId="5" borderId="1" applyAlignment="1" pivotButton="0" quotePrefix="0" xfId="0">
      <alignment vertical="center" wrapText="1"/>
    </xf>
    <xf numFmtId="169" fontId="4" fillId="6" borderId="1" applyAlignment="1" pivotButton="0" quotePrefix="0" xfId="0">
      <alignment vertical="center" wrapText="1"/>
    </xf>
    <xf numFmtId="164" fontId="5" fillId="0" borderId="0" pivotButton="0" quotePrefix="0" xfId="0"/>
    <xf numFmtId="165" fontId="6" fillId="8" borderId="1" applyAlignment="1" pivotButton="0" quotePrefix="0" xfId="0">
      <alignment vertical="center"/>
    </xf>
    <xf numFmtId="166" fontId="6" fillId="8" borderId="1" applyAlignment="1" pivotButton="0" quotePrefix="0" xfId="0">
      <alignment vertical="center"/>
    </xf>
    <xf numFmtId="168" fontId="6" fillId="8" borderId="1" applyAlignment="1" pivotButton="0" quotePrefix="0" xfId="0">
      <alignment vertical="center"/>
    </xf>
    <xf numFmtId="166" fontId="4" fillId="3" borderId="1" applyAlignment="1" pivotButton="0" quotePrefix="0" xfId="0">
      <alignment vertical="center"/>
    </xf>
    <xf numFmtId="166" fontId="5" fillId="8" borderId="1" applyAlignment="1" pivotButton="0" quotePrefix="0" xfId="0">
      <alignment vertical="center"/>
    </xf>
    <xf numFmtId="169" fontId="5" fillId="6" borderId="1" applyAlignment="1" pivotButton="0" quotePrefix="0" xfId="0">
      <alignment vertical="center"/>
    </xf>
    <xf numFmtId="166" fontId="5" fillId="3" borderId="1" applyAlignment="1" pivotButton="0" quotePrefix="0" xfId="0">
      <alignment vertical="center" wrapText="1"/>
    </xf>
    <xf numFmtId="164" fontId="4" fillId="5" borderId="1" applyAlignment="1" pivotButton="0" quotePrefix="0" xfId="0">
      <alignment vertical="center"/>
    </xf>
    <xf numFmtId="164" fontId="4" fillId="6" borderId="1" applyAlignment="1" pivotButton="0" quotePrefix="0" xfId="0">
      <alignment vertical="center"/>
    </xf>
    <xf numFmtId="166" fontId="4" fillId="6" borderId="1" applyAlignment="1" pivotButton="0" quotePrefix="0" xfId="0">
      <alignment vertical="center"/>
    </xf>
    <xf numFmtId="169" fontId="4" fillId="6" borderId="1" applyAlignment="1" pivotButton="0" quotePrefix="0" xfId="0">
      <alignment vertical="center"/>
    </xf>
    <xf numFmtId="168" fontId="4" fillId="6" borderId="1" applyAlignment="1" pivotButton="0" quotePrefix="0" xfId="0">
      <alignment vertical="center"/>
    </xf>
    <xf numFmtId="170" fontId="4" fillId="6" borderId="1" applyAlignment="1" pivotButton="0" quotePrefix="0" xfId="0">
      <alignment vertical="center"/>
    </xf>
    <xf numFmtId="171" fontId="4" fillId="5" borderId="1" applyAlignment="1" pivotButton="0" quotePrefix="0" xfId="0">
      <alignment vertical="center"/>
    </xf>
    <xf numFmtId="170" fontId="4" fillId="5" borderId="1" applyAlignment="1" pivotButton="0" quotePrefix="0" xfId="0">
      <alignment vertical="center"/>
    </xf>
    <xf numFmtId="166" fontId="4" fillId="5" borderId="1" applyAlignment="1" pivotButton="0" quotePrefix="0" xfId="0">
      <alignment vertical="center"/>
    </xf>
    <xf numFmtId="172" fontId="4" fillId="5" borderId="1" applyAlignment="1" pivotButton="0" quotePrefix="0" xfId="0">
      <alignment vertical="center"/>
    </xf>
    <xf numFmtId="166" fontId="4" fillId="5" borderId="1" applyAlignment="1" pivotButton="0" quotePrefix="0" xfId="0">
      <alignment vertical="center" wrapText="1"/>
    </xf>
    <xf numFmtId="173" fontId="4" fillId="5" borderId="1" applyAlignment="1" pivotButton="0" quotePrefix="0" xfId="0">
      <alignment vertical="center" wrapText="1"/>
    </xf>
    <xf numFmtId="169" fontId="4" fillId="5" borderId="1" applyAlignment="1" pivotButton="0" quotePrefix="0" xfId="0">
      <alignment vertical="center" wrapText="1"/>
    </xf>
    <xf numFmtId="174" fontId="4" fillId="5" borderId="1" applyAlignment="1" pivotButton="0" quotePrefix="0" xfId="0">
      <alignment vertical="center" wrapText="1"/>
    </xf>
    <xf numFmtId="170" fontId="4" fillId="5" borderId="1" applyAlignment="1" pivotButton="0" quotePrefix="0" xfId="0">
      <alignment vertical="center" wrapText="1"/>
    </xf>
    <xf numFmtId="175" fontId="4" fillId="5" borderId="1" applyAlignment="1" pivotButton="0" quotePrefix="0" xfId="0">
      <alignment vertical="center" wrapText="1"/>
    </xf>
    <xf numFmtId="169" fontId="4" fillId="6" borderId="1" applyAlignment="1" pivotButton="0" quotePrefix="0" xfId="0">
      <alignment vertical="center" wrapText="1"/>
    </xf>
  </cellXfs>
  <cellStyles count="1">
    <cellStyle name="Normal" xfId="0" builtinId="0" hidden="0"/>
  </cellStyles>
  <dxfs count="9">
    <dxf>
      <font>
        <name val="Aptos"/>
        <b val="1"/>
        <color rgb="0020313A"/>
        <sz val="10"/>
      </font>
      <fill>
        <patternFill patternType="solid">
          <fgColor rgb="00D9EAD3"/>
        </patternFill>
      </fill>
    </dxf>
    <dxf>
      <font>
        <name val="Aptos"/>
        <b val="1"/>
        <color rgb="0020313A"/>
        <sz val="10"/>
      </font>
      <fill>
        <patternFill patternType="solid">
          <fgColor rgb="00FCE8C3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color rgb="0020313A"/>
        <sz val="10"/>
      </font>
      <fill>
        <patternFill patternType="solid">
          <fgColor rgb="00D9EAF7"/>
        </patternFill>
      </fill>
    </dxf>
    <dxf>
      <font>
        <name val="Aptos"/>
        <color rgb="0020313A"/>
        <sz val="10"/>
      </font>
      <fill>
        <patternFill patternType="solid">
          <fgColor rgb="00FCE8C3"/>
        </patternFill>
      </fill>
    </dxf>
    <dxf>
      <font>
        <name val="Aptos"/>
        <b val="1"/>
        <color rgb="00FFFFFF"/>
        <sz val="10"/>
      </font>
      <fill>
        <patternFill patternType="solid">
          <fgColor rgb="0070AD47"/>
        </patternFill>
      </fill>
    </dxf>
    <dxf>
      <font>
        <name val="Aptos"/>
        <b val="1"/>
        <color rgb="00FFFFFF"/>
        <sz val="10"/>
      </font>
      <fill>
        <patternFill patternType="solid">
          <fgColor rgb="00548235"/>
        </patternFill>
      </fill>
    </dxf>
    <dxf>
      <font>
        <name val="Aptos"/>
        <color rgb="0020313A"/>
        <sz val="10"/>
      </font>
      <fill>
        <patternFill patternType="solid">
          <fgColor rgb="00E7E6E6"/>
        </patternFill>
      </fill>
    </dxf>
    <dxf>
      <font>
        <name val="Aptos"/>
        <b val="1"/>
        <color rgb="00FFFFFF"/>
        <sz val="10"/>
      </font>
      <fill>
        <patternFill patternType="solid">
          <fgColor rgb="00C050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Trips by Plan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'Dashboard'!$A$13:$A$18</f>
            </numRef>
          </cat>
          <val>
            <numRef>
              <f>'Dashboard'!$B$13:$B$18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 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Trip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Revenue vs. Estimated Net Contribution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'Dashboard'!C12</f>
            </strRef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'Dashboard'!$A$13:$A$18</f>
            </numRef>
          </cat>
          <val>
            <numRef>
              <f>'Dashboard'!$C$13:$C$18</f>
            </numRef>
          </val>
        </ser>
        <ser>
          <idx val="1"/>
          <order val="1"/>
          <tx>
            <strRef>
              <f>'Dashboard'!D12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'Dashboard'!$A$13:$A$18</f>
            </numRef>
          </cat>
          <val>
            <numRef>
              <f>'Dashboard'!$D$13:$D$18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 Status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10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23</row>
      <rowOff>0</rowOff>
    </from>
    <ext cx="4680000" cy="262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lan" displayName="tblPlan" ref="A5:AL15" headerRowCount="1">
  <autoFilter ref="A5:AL15"/>
  <tableColumns count="38">
    <tableColumn id="1" name="Trip ID"/>
    <tableColumn id="2" name="Truck Number"/>
    <tableColumn id="3" name="Driver"/>
    <tableColumn id="4" name="Equipment"/>
    <tableColumn id="5" name="Outbound Customer"/>
    <tableColumn id="6" name="Outbound Destination City"/>
    <tableColumn id="7" name="Outbound Destination State"/>
    <tableColumn id="8" name="Outbound Delivery Date"/>
    <tableColumn id="9" name="Outbound Delivery Time"/>
    <tableColumn id="10" name="Available Date"/>
    <tableColumn id="11" name="Available Time"/>
    <tableColumn id="12" name="Base City"/>
    <tableColumn id="13" name="Base State"/>
    <tableColumn id="14" name="Baseline Empty Return Miles"/>
    <tableColumn id="15" name="Trip Plan Status"/>
    <tableColumn id="16" name="Selected Load ID"/>
    <tableColumn id="17" name="Load Status"/>
    <tableColumn id="18" name="Broker/Customer"/>
    <tableColumn id="19" name="Pickup City"/>
    <tableColumn id="20" name="Pickup State"/>
    <tableColumn id="21" name="Pickup Date"/>
    <tableColumn id="22" name="Pickup Time"/>
    <tableColumn id="23" name="Delivery City"/>
    <tableColumn id="24" name="Delivery State"/>
    <tableColumn id="25" name="Delivery Date"/>
    <tableColumn id="26" name="Deadhead Miles"/>
    <tableColumn id="27" name="Loaded Miles"/>
    <tableColumn id="28" name="Empty Miles to Base"/>
    <tableColumn id="29" name="Gross Revenue"/>
    <tableColumn id="30" name="Estimated Net Contribution"/>
    <tableColumn id="31" name="Revenue/Loaded Mile"/>
    <tableColumn id="32" name="Estimated Fuel Gallons"/>
    <tableColumn id="33" name="Actual Return Miles"/>
    <tableColumn id="34" name="Pickup Wait Hours"/>
    <tableColumn id="35" name="Pickup Feasibility"/>
    <tableColumn id="36" name="Empty Miles Avoided"/>
    <tableColumn id="37" name="Selection Check"/>
    <tableColumn id="38" name="Dispatcher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Opp" displayName="tblOpp" ref="A5:AM15" headerRowCount="1">
  <autoFilter ref="A5:AM15"/>
  <tableColumns count="39">
    <tableColumn id="1" name="Load ID"/>
    <tableColumn id="2" name="Target Trip ID"/>
    <tableColumn id="3" name="Status"/>
    <tableColumn id="4" name="Broker/Customer"/>
    <tableColumn id="5" name="Pickup City"/>
    <tableColumn id="6" name="Pickup State"/>
    <tableColumn id="7" name="Pickup Date"/>
    <tableColumn id="8" name="Pickup Time"/>
    <tableColumn id="9" name="Delivery City"/>
    <tableColumn id="10" name="Delivery State"/>
    <tableColumn id="11" name="Delivery Date"/>
    <tableColumn id="12" name="Delivery Time"/>
    <tableColumn id="13" name="Equipment"/>
    <tableColumn id="14" name="Weight (lb)"/>
    <tableColumn id="15" name="Deadhead Miles"/>
    <tableColumn id="16" name="Loaded Miles"/>
    <tableColumn id="17" name="Empty Miles to Base"/>
    <tableColumn id="18" name="Planned Idle Hours"/>
    <tableColumn id="19" name="Linehaul Revenue"/>
    <tableColumn id="20" name="Fuel Surcharge"/>
    <tableColumn id="21" name="Accessorial Revenue"/>
    <tableColumn id="22" name="Broker Fee"/>
    <tableColumn id="23" name="Contact"/>
    <tableColumn id="24" name="Quote Expires"/>
    <tableColumn id="25" name="Notes"/>
    <tableColumn id="26" name="Gross Revenue"/>
    <tableColumn id="27" name="Revenue/Loaded Mile"/>
    <tableColumn id="28" name="Actual Return Miles"/>
    <tableColumn id="29" name="Baseline Empty Return Miles"/>
    <tableColumn id="30" name="Empty Miles Avoided"/>
    <tableColumn id="31" name="Incremental Miles"/>
    <tableColumn id="32" name="Estimated Fuel Gallons"/>
    <tableColumn id="33" name="Estimated Fuel Cost"/>
    <tableColumn id="34" name="Incremental Variable Cost"/>
    <tableColumn id="35" name="Wait Cost"/>
    <tableColumn id="36" name="Estimated Net Contribution"/>
    <tableColumn id="37" name="Contribution/Actual Mile"/>
    <tableColumn id="38" name="Recommendation"/>
    <tableColumn id="39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9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8" customWidth="1" min="4" max="4"/>
    <col width="14" customWidth="1" min="5" max="5"/>
    <col width="28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30" customHeight="1">
      <c r="A1" s="1" t="inlineStr">
        <is>
          <t>Backhaul Planning Dashboard</t>
        </is>
      </c>
    </row>
    <row r="2" ht="24" customHeight="1">
      <c r="A2" s="2" t="inlineStr">
        <is>
          <t>Manual planning view for return-load coverage, empty-mile reduction, and estimated contribution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3" t="inlineStr">
        <is>
          <t>As of:</t>
        </is>
      </c>
      <c r="B3" s="61">
        <f>TODAY()</f>
        <v/>
      </c>
    </row>
    <row r="4"/>
    <row r="5" ht="33" customHeight="1">
      <c r="A5" s="5" t="inlineStr">
        <is>
          <t>Total Outbound Trips</t>
        </is>
      </c>
      <c r="B5" s="6" t="n"/>
      <c r="C5" s="6" t="n"/>
      <c r="D5" s="6" t="n"/>
      <c r="E5" s="5" t="inlineStr">
        <is>
          <t>Booked or Completed Backhauls</t>
        </is>
      </c>
      <c r="F5" s="6" t="n"/>
      <c r="G5" s="6" t="n"/>
      <c r="H5" s="6" t="n"/>
      <c r="I5" s="5" t="inlineStr">
        <is>
          <t>Backhaul Coverage</t>
        </is>
      </c>
      <c r="J5" s="6" t="n"/>
      <c r="K5" s="6" t="n"/>
      <c r="L5" s="6" t="n"/>
      <c r="M5" s="5" t="inlineStr">
        <is>
          <t>Open Trips</t>
        </is>
      </c>
      <c r="N5" s="6" t="n"/>
      <c r="O5" s="6" t="n"/>
      <c r="P5" s="6" t="n"/>
    </row>
    <row r="6" ht="30" customHeight="1">
      <c r="A6" s="7">
        <f>COUNTA('Planner'!$A$6:$A$205)</f>
        <v/>
      </c>
      <c r="B6" s="6" t="n"/>
      <c r="C6" s="6" t="n"/>
      <c r="D6" s="6" t="n"/>
      <c r="E6" s="7">
        <f>COUNTIF('Planner'!$O$6:$O$205,"Booked")+COUNTIF('Planner'!$O$6:$O$205,"Completed")</f>
        <v/>
      </c>
      <c r="F6" s="6" t="n"/>
      <c r="G6" s="6" t="n"/>
      <c r="H6" s="6" t="n"/>
      <c r="I6" s="62">
        <f>IFERROR((COUNTIF('Planner'!$O$6:$O$205,"Booked")+COUNTIF('Planner'!$O$6:$O$205,"Completed"))/COUNTA('Planner'!$A$6:$A$205),0)</f>
        <v/>
      </c>
      <c r="J6" s="6" t="n"/>
      <c r="K6" s="6" t="n"/>
      <c r="L6" s="6" t="n"/>
      <c r="M6" s="7">
        <f>COUNTIF('Planner'!$O$6:$O$205,"Searching")+COUNTIF('Planner'!$O$6:$O$205,"Tentative")</f>
        <v/>
      </c>
      <c r="N6" s="6" t="n"/>
      <c r="O6" s="6" t="n"/>
      <c r="P6" s="6" t="n"/>
    </row>
    <row r="7"/>
    <row r="8" ht="40" customHeight="1">
      <c r="A8" s="5" t="inlineStr">
        <is>
          <t>Booked/Completed Gross Revenue</t>
        </is>
      </c>
      <c r="B8" s="6" t="n"/>
      <c r="C8" s="6" t="n"/>
      <c r="D8" s="6" t="n"/>
      <c r="E8" s="5" t="inlineStr">
        <is>
          <t>Booked/Completed Estimated Net Contribution</t>
        </is>
      </c>
      <c r="F8" s="6" t="n"/>
      <c r="G8" s="6" t="n"/>
      <c r="H8" s="6" t="n"/>
      <c r="I8" s="5" t="inlineStr">
        <is>
          <t>Booked/Completed Empty Miles Avoided</t>
        </is>
      </c>
      <c r="J8" s="6" t="n"/>
      <c r="K8" s="6" t="n"/>
      <c r="L8" s="6" t="n"/>
      <c r="M8" s="5" t="inlineStr">
        <is>
          <t>Booked/Completed Estimated Fuel Gallons</t>
        </is>
      </c>
      <c r="N8" s="6" t="n"/>
      <c r="O8" s="6" t="n"/>
      <c r="P8" s="6" t="n"/>
    </row>
    <row r="9" ht="30" customHeight="1">
      <c r="A9" s="63">
        <f>SUMIFS('Planner'!$AC$6:$AC$205,'Planner'!$O$6:$O$205,"Booked")+SUMIFS('Planner'!$AC$6:$AC$205,'Planner'!$O$6:$O$205,"Completed")</f>
        <v/>
      </c>
      <c r="B9" s="6" t="n"/>
      <c r="C9" s="6" t="n"/>
      <c r="D9" s="6" t="n"/>
      <c r="E9" s="63">
        <f>SUMIFS('Planner'!$AD$6:$AD$205,'Planner'!$O$6:$O$205,"Booked")+SUMIFS('Planner'!$AD$6:$AD$205,'Planner'!$O$6:$O$205,"Completed")</f>
        <v/>
      </c>
      <c r="F9" s="6" t="n"/>
      <c r="G9" s="6" t="n"/>
      <c r="H9" s="6" t="n"/>
      <c r="I9" s="10">
        <f>SUMIFS('Planner'!$AJ$6:$AJ$205,'Planner'!$O$6:$O$205,"Booked")+SUMIFS('Planner'!$AJ$6:$AJ$205,'Planner'!$O$6:$O$205,"Completed")</f>
        <v/>
      </c>
      <c r="J9" s="6" t="n"/>
      <c r="K9" s="6" t="n"/>
      <c r="L9" s="6" t="n"/>
      <c r="M9" s="64">
        <f>SUMIFS('Planner'!$AF$6:$AF$205,'Planner'!$O$6:$O$205,"Booked")+SUMIFS('Planner'!$AF$6:$AF$205,'Planner'!$O$6:$O$205,"Completed")</f>
        <v/>
      </c>
      <c r="N9" s="6" t="n"/>
      <c r="O9" s="6" t="n"/>
      <c r="P9" s="6" t="n"/>
    </row>
    <row r="10"/>
    <row r="11">
      <c r="A11" s="12" t="inlineStr">
        <is>
          <t>Trip Status Summary</t>
        </is>
      </c>
      <c r="B11" s="12" t="n"/>
      <c r="C11" s="12" t="n"/>
      <c r="D11" s="12" t="n"/>
      <c r="E11" s="12" t="n"/>
    </row>
    <row r="12">
      <c r="A12" s="13" t="inlineStr">
        <is>
          <t>Trip Plan Status</t>
        </is>
      </c>
      <c r="B12" s="13" t="inlineStr">
        <is>
          <t>Trip Count</t>
        </is>
      </c>
      <c r="C12" s="13" t="inlineStr">
        <is>
          <t>Gross Revenue</t>
        </is>
      </c>
      <c r="D12" s="13" t="inlineStr">
        <is>
          <t>Estimated Net Contribution</t>
        </is>
      </c>
      <c r="E12" s="13" t="inlineStr">
        <is>
          <t>Loaded Miles</t>
        </is>
      </c>
    </row>
    <row r="13">
      <c r="A13" s="14" t="inlineStr">
        <is>
          <t>Searching</t>
        </is>
      </c>
      <c r="B13" s="15">
        <f>COUNTIF('Planner'!$O$6:$O$205,$A13)</f>
        <v/>
      </c>
      <c r="C13" s="65">
        <f>SUMIF('Planner'!$O$6:$O$205,$A13,'Planner'!$AC$6:$AC$205)</f>
        <v/>
      </c>
      <c r="D13" s="65">
        <f>SUMIF('Planner'!$O$6:$O$205,$A13,'Planner'!$AD$6:$AD$205)</f>
        <v/>
      </c>
      <c r="E13" s="17">
        <f>SUMIF('Planner'!$O$6:$O$205,$A13,'Planner'!$AA$6:$AA$205)</f>
        <v/>
      </c>
    </row>
    <row r="14">
      <c r="A14" s="14" t="inlineStr">
        <is>
          <t>Tentative</t>
        </is>
      </c>
      <c r="B14" s="15">
        <f>COUNTIF('Planner'!$O$6:$O$205,$A14)</f>
        <v/>
      </c>
      <c r="C14" s="65">
        <f>SUMIF('Planner'!$O$6:$O$205,$A14,'Planner'!$AC$6:$AC$205)</f>
        <v/>
      </c>
      <c r="D14" s="65">
        <f>SUMIF('Planner'!$O$6:$O$205,$A14,'Planner'!$AD$6:$AD$205)</f>
        <v/>
      </c>
      <c r="E14" s="17">
        <f>SUMIF('Planner'!$O$6:$O$205,$A14,'Planner'!$AA$6:$AA$205)</f>
        <v/>
      </c>
    </row>
    <row r="15">
      <c r="A15" s="14" t="inlineStr">
        <is>
          <t>Booked</t>
        </is>
      </c>
      <c r="B15" s="15">
        <f>COUNTIF('Planner'!$O$6:$O$205,$A15)</f>
        <v/>
      </c>
      <c r="C15" s="65">
        <f>SUMIF('Planner'!$O$6:$O$205,$A15,'Planner'!$AC$6:$AC$205)</f>
        <v/>
      </c>
      <c r="D15" s="65">
        <f>SUMIF('Planner'!$O$6:$O$205,$A15,'Planner'!$AD$6:$AD$205)</f>
        <v/>
      </c>
      <c r="E15" s="17">
        <f>SUMIF('Planner'!$O$6:$O$205,$A15,'Planner'!$AA$6:$AA$205)</f>
        <v/>
      </c>
    </row>
    <row r="16">
      <c r="A16" s="14" t="inlineStr">
        <is>
          <t>Completed</t>
        </is>
      </c>
      <c r="B16" s="15">
        <f>COUNTIF('Planner'!$O$6:$O$205,$A16)</f>
        <v/>
      </c>
      <c r="C16" s="65">
        <f>SUMIF('Planner'!$O$6:$O$205,$A16,'Planner'!$AC$6:$AC$205)</f>
        <v/>
      </c>
      <c r="D16" s="65">
        <f>SUMIF('Planner'!$O$6:$O$205,$A16,'Planner'!$AD$6:$AD$205)</f>
        <v/>
      </c>
      <c r="E16" s="17">
        <f>SUMIF('Planner'!$O$6:$O$205,$A16,'Planner'!$AA$6:$AA$205)</f>
        <v/>
      </c>
    </row>
    <row r="17">
      <c r="A17" s="14" t="inlineStr">
        <is>
          <t>No Backhaul</t>
        </is>
      </c>
      <c r="B17" s="15">
        <f>COUNTIF('Planner'!$O$6:$O$205,$A17)</f>
        <v/>
      </c>
      <c r="C17" s="65">
        <f>SUMIF('Planner'!$O$6:$O$205,$A17,'Planner'!$AC$6:$AC$205)</f>
        <v/>
      </c>
      <c r="D17" s="65">
        <f>SUMIF('Planner'!$O$6:$O$205,$A17,'Planner'!$AD$6:$AD$205)</f>
        <v/>
      </c>
      <c r="E17" s="17">
        <f>SUMIF('Planner'!$O$6:$O$205,$A17,'Planner'!$AA$6:$AA$205)</f>
        <v/>
      </c>
    </row>
    <row r="18">
      <c r="A18" s="14" t="inlineStr">
        <is>
          <t>Canceled</t>
        </is>
      </c>
      <c r="B18" s="15">
        <f>COUNTIF('Planner'!$O$6:$O$205,$A18)</f>
        <v/>
      </c>
      <c r="C18" s="65">
        <f>SUMIF('Planner'!$O$6:$O$205,$A18,'Planner'!$AC$6:$AC$205)</f>
        <v/>
      </c>
      <c r="D18" s="65">
        <f>SUMIF('Planner'!$O$6:$O$205,$A18,'Planner'!$AD$6:$AD$205)</f>
        <v/>
      </c>
      <c r="E18" s="17">
        <f>SUMIF('Planner'!$O$6:$O$205,$A18,'Planner'!$AA$6:$AA$205)</f>
        <v/>
      </c>
    </row>
    <row r="19">
      <c r="A19" s="18" t="inlineStr">
        <is>
          <t>Total</t>
        </is>
      </c>
      <c r="B19" s="19">
        <f>SUM(B13:B18)</f>
        <v/>
      </c>
      <c r="C19" s="66">
        <f>SUM(C13:C18)</f>
        <v/>
      </c>
      <c r="D19" s="66">
        <f>SUM(D13:D18)</f>
        <v/>
      </c>
      <c r="E19" s="21">
        <f>SUM(E13:E18)</f>
        <v/>
      </c>
    </row>
    <row r="20">
      <c r="A20" s="22" t="inlineStr">
        <is>
          <t>Weighted Revenue per Loaded Mile</t>
        </is>
      </c>
      <c r="B20" s="67">
        <f>IFERROR((SUMIFS('Planner'!$AC$6:$AC$205,'Planner'!$O$6:$O$205,"Booked")+SUMIFS('Planner'!$AC$6:$AC$205,'Planner'!$O$6:$O$205,"Completed"))/(SUMIFS('Planner'!$AA$6:$AA$205,'Planner'!$O$6:$O$205,"Booked")+SUMIFS('Planner'!$AA$6:$AA$205,'Planner'!$O$6:$O$205,"Completed")),0)</f>
        <v/>
      </c>
      <c r="C20" s="22">
        <f>""</f>
        <v/>
      </c>
      <c r="D20" s="22" t="n"/>
      <c r="E20" s="22">
        <f>""</f>
        <v/>
      </c>
    </row>
    <row r="21">
      <c r="B21">
        <f>""</f>
        <v/>
      </c>
      <c r="C21">
        <f>""</f>
        <v/>
      </c>
      <c r="E21">
        <f>""</f>
        <v/>
      </c>
    </row>
    <row r="22">
      <c r="A22" s="12" t="inlineStr">
        <is>
          <t>Opportunity Pipeline Summary</t>
        </is>
      </c>
      <c r="B22" s="12">
        <f>""</f>
        <v/>
      </c>
      <c r="C22" s="12">
        <f>""</f>
        <v/>
      </c>
      <c r="D22" s="12" t="n"/>
      <c r="E22">
        <f>""</f>
        <v/>
      </c>
      <c r="F22" s="12" t="inlineStr">
        <is>
          <t>Action Checks</t>
        </is>
      </c>
      <c r="G22" s="12" t="n"/>
      <c r="H22" s="12" t="n"/>
      <c r="I22" s="12" t="n"/>
    </row>
    <row r="23" ht="34" customHeight="1">
      <c r="A23" s="24" t="inlineStr">
        <is>
          <t>Active Opportunities</t>
        </is>
      </c>
      <c r="B23" s="25">
        <f>""</f>
        <v/>
      </c>
      <c r="C23" s="25">
        <f>""</f>
        <v/>
      </c>
      <c r="D23" s="26">
        <f>COUNTIF('Opportunities'!$C$6:$C$205,"New")+COUNTIF('Opportunities'!$C$6:$C$205,"Quoted")+COUNTIF('Opportunities'!$C$6:$C$205,"Hold")</f>
        <v/>
      </c>
      <c r="E23">
        <f>""</f>
        <v/>
      </c>
      <c r="F23" s="24" t="inlineStr">
        <is>
          <t>Booked/Completed Trips Missing a Load</t>
        </is>
      </c>
      <c r="G23" s="25" t="n"/>
      <c r="H23" s="25" t="n"/>
      <c r="I23" s="27">
        <f>COUNTIFS('Planner'!$O$6:$O$205,"Booked",'Planner'!$P$6:$P$205,"")+COUNTIFS('Planner'!$O$6:$O$205,"Completed",'Planner'!$P$6:$P$205,"")</f>
        <v/>
      </c>
    </row>
    <row r="24" ht="34" customHeight="1">
      <c r="A24" s="24" t="inlineStr">
        <is>
          <t>Active Potential Gross Revenue</t>
        </is>
      </c>
      <c r="B24" s="25">
        <f>""</f>
        <v/>
      </c>
      <c r="C24" s="25">
        <f>""</f>
        <v/>
      </c>
      <c r="D24" s="68">
        <f>SUMIF('Opportunities'!$C$6:$C$205,"New",'Opportunities'!$Z$6:$Z$205)+SUMIF('Opportunities'!$C$6:$C$205,"Quoted",'Opportunities'!$Z$6:$Z$205)+SUMIF('Opportunities'!$C$6:$C$205,"Hold",'Opportunities'!$Z$6:$Z$205)</f>
        <v/>
      </c>
      <c r="E24">
        <f>""</f>
        <v/>
      </c>
      <c r="F24" s="24" t="inlineStr">
        <is>
          <t>Load Selection Issues</t>
        </is>
      </c>
      <c r="G24" s="25" t="n"/>
      <c r="H24" s="25" t="n"/>
      <c r="I24" s="27">
        <f>COUNTIFS('Planner'!$P$6:$P$205,"&lt;&gt;",'Planner'!$AK$6:$AK$205,"&lt;&gt;OK")</f>
        <v/>
      </c>
    </row>
    <row r="25" ht="34" customHeight="1">
      <c r="A25" s="24" t="inlineStr">
        <is>
          <t>Active Potential Net Contribution</t>
        </is>
      </c>
      <c r="B25" s="25">
        <f>""</f>
        <v/>
      </c>
      <c r="C25" s="25">
        <f>""</f>
        <v/>
      </c>
      <c r="D25" s="68">
        <f>SUMIF('Opportunities'!$C$6:$C$205,"New",'Opportunities'!$AJ$6:$AJ$205)+SUMIF('Opportunities'!$C$6:$C$205,"Quoted",'Opportunities'!$AJ$6:$AJ$205)+SUMIF('Opportunities'!$C$6:$C$205,"Hold",'Opportunities'!$AJ$6:$AJ$205)</f>
        <v/>
      </c>
      <c r="E25">
        <f>""</f>
        <v/>
      </c>
      <c r="F25" s="24" t="inlineStr">
        <is>
          <t>Pickup Timing Issues</t>
        </is>
      </c>
      <c r="G25" s="25" t="n"/>
      <c r="H25" s="25" t="n"/>
      <c r="I25" s="27">
        <f>COUNTIF('Planner'!$AI$6:$AI$205,"Too tight")+COUNTIF('Planner'!$AI$6:$AI$205,"Long wait")</f>
        <v/>
      </c>
    </row>
    <row r="26" ht="34" customHeight="1">
      <c r="A26" s="24" t="inlineStr">
        <is>
          <t>Active Opportunities Meeting Targets</t>
        </is>
      </c>
      <c r="B26" s="25">
        <f>""</f>
        <v/>
      </c>
      <c r="C26" s="25">
        <f>""</f>
        <v/>
      </c>
      <c r="D26" s="26">
        <f>COUNTIF('Opportunities'!$AL$6:$AL$205,"Meets Targets")</f>
        <v/>
      </c>
      <c r="E26">
        <f>""</f>
        <v/>
      </c>
      <c r="F26" s="24" t="inlineStr">
        <is>
          <t>Booked/Completed Loads Below Contribution Target</t>
        </is>
      </c>
      <c r="G26" s="25" t="n"/>
      <c r="H26" s="25" t="n"/>
      <c r="I26" s="27">
        <f>COUNTIFS('Planner'!$O$6:$O$205,"Booked",'Planner'!$AD$6:$AD$205,"&lt;"&amp;'Settings'!$B$9)+COUNTIFS('Planner'!$O$6:$O$205,"Completed",'Planner'!$AD$6:$AD$205,"&lt;"&amp;'Settings'!$B$9)</f>
        <v/>
      </c>
    </row>
    <row r="27" ht="34" customHeight="1">
      <c r="B27">
        <f>""</f>
        <v/>
      </c>
      <c r="C27">
        <f>""</f>
        <v/>
      </c>
      <c r="D27">
        <f>""</f>
        <v/>
      </c>
      <c r="E27">
        <f>""</f>
        <v/>
      </c>
      <c r="F27" s="24" t="inlineStr">
        <is>
          <t>Opportunity Data Errors</t>
        </is>
      </c>
      <c r="G27" s="25" t="n"/>
      <c r="H27" s="25" t="n"/>
      <c r="I27" s="27">
        <f>COUNTIFS('Opportunities'!$A$6:$A$205,"&lt;&gt;",'Opportunities'!$AM$6:$AM$205,"&lt;&gt;OK")</f>
        <v/>
      </c>
    </row>
    <row r="28" ht="34" customHeight="1">
      <c r="B28">
        <f>""</f>
        <v/>
      </c>
      <c r="C28">
        <f>""</f>
        <v/>
      </c>
      <c r="D28">
        <f>""</f>
        <v/>
      </c>
      <c r="E28">
        <f>""</f>
        <v/>
      </c>
      <c r="F28" s="24" t="inlineStr">
        <is>
          <t>Active Quotes Expiring Soon</t>
        </is>
      </c>
      <c r="G28" s="25" t="n"/>
      <c r="H28" s="25" t="n"/>
      <c r="I28" s="27">
        <f>COUNTIFS('Opportunities'!$C$6:$C$205,"New",'Opportunities'!$X$6:$X$205,"&gt;="&amp;TODAY(),'Opportunities'!$X$6:$X$205,"&lt;="&amp;TODAY()+'Settings'!$B$14)+COUNTIFS('Opportunities'!$C$6:$C$205,"Quoted",'Opportunities'!$X$6:$X$205,"&gt;="&amp;TODAY(),'Opportunities'!$X$6:$X$205,"&lt;="&amp;TODAY()+'Settings'!$B$14)+COUNTIFS('Opportunities'!$C$6:$C$205,"Hold",'Opportunities'!$X$6:$X$205,"&gt;="&amp;TODAY(),'Opportunities'!$X$6:$X$205,"&lt;="&amp;TODAY()+'Settings'!$B$14)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I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I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I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I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I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I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I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I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I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I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I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I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I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I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I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I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I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I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I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I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I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I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I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I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I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I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I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I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I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I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I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I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I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I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I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I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I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I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I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I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I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I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I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I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I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I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I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I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I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I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I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I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I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I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I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I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I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I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I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I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I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I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I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I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I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I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I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I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I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I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I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I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I101">
        <f>""</f>
        <v/>
      </c>
    </row>
  </sheetData>
  <mergeCells count="1">
    <mergeCell ref="A1:P1"/>
  </mergeCells>
  <conditionalFormatting sqref="I23:I28">
    <cfRule type="expression" priority="1" dxfId="0">
      <formula>I23=0</formula>
    </cfRule>
    <cfRule type="expression" priority="2" dxfId="1">
      <formula>AND(I23&gt;=1,I23&lt;=2)</formula>
    </cfRule>
    <cfRule type="expression" priority="3" dxfId="2">
      <formula>I23&gt;=3</formula>
    </cfRule>
  </conditionalFormatting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L205"/>
  <sheetViews>
    <sheetView showGridLines="0" zoomScale="80" zoomScaleNormal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4" customWidth="1" min="4" max="4"/>
    <col width="24" customWidth="1" min="5" max="5"/>
    <col width="22" customWidth="1" min="6" max="6"/>
    <col width="11" customWidth="1" min="7" max="7"/>
    <col width="13" customWidth="1" min="8" max="8"/>
    <col width="12" customWidth="1" min="9" max="9"/>
    <col width="13" customWidth="1" min="10" max="10"/>
    <col width="12" customWidth="1" min="11" max="11"/>
    <col width="18" customWidth="1" min="12" max="12"/>
    <col width="10" customWidth="1" min="13" max="13"/>
    <col width="16" customWidth="1" min="14" max="14"/>
    <col width="17" customWidth="1" min="15" max="15"/>
    <col width="15" customWidth="1" min="16" max="16"/>
    <col width="14" customWidth="1" min="17" max="17"/>
    <col width="22" customWidth="1" min="18" max="18"/>
    <col width="18" customWidth="1" min="19" max="19"/>
    <col width="10" customWidth="1" min="20" max="20"/>
    <col width="13" customWidth="1" min="21" max="21"/>
    <col width="12" customWidth="1" min="22" max="22"/>
    <col width="18" customWidth="1" min="23" max="23"/>
    <col width="10" customWidth="1" min="24" max="24"/>
    <col width="13" customWidth="1" min="25" max="25"/>
    <col width="14" customWidth="1" min="26" max="26"/>
    <col width="14" customWidth="1" min="27" max="27"/>
    <col width="15" customWidth="1" min="28" max="28"/>
    <col width="15" customWidth="1" min="29" max="29"/>
    <col width="18" customWidth="1" min="30" max="30"/>
    <col width="15" customWidth="1" min="31" max="31"/>
    <col width="16" customWidth="1" min="32" max="32"/>
    <col width="15" customWidth="1" min="33" max="33"/>
    <col width="15" customWidth="1" min="34" max="34"/>
    <col width="18" customWidth="1" min="35" max="35"/>
    <col width="15" customWidth="1" min="36" max="36"/>
    <col width="20" customWidth="1" min="37" max="37"/>
    <col width="42" customWidth="1" min="38" max="38"/>
  </cols>
  <sheetData>
    <row r="1" ht="28" customHeight="1">
      <c r="A1" s="1" t="inlineStr">
        <is>
          <t>Outbound Trip and Backhaul Planner</t>
        </is>
      </c>
    </row>
    <row r="2" ht="25" customHeight="1">
      <c r="A2" s="29" t="inlineStr">
        <is>
          <t>Enter outbound-trip details in yellow cells, then select a Load ID from the Opportunities sheet. Blue cells are calculated.</t>
        </is>
      </c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29" t="n"/>
      <c r="AF2" s="29" t="n"/>
      <c r="AG2" s="29" t="n"/>
      <c r="AH2" s="29" t="n"/>
      <c r="AI2" s="29" t="n"/>
      <c r="AJ2" s="29" t="n"/>
      <c r="AK2" s="29" t="n"/>
      <c r="AL2" s="29" t="n"/>
    </row>
    <row r="3">
      <c r="A3" s="30" t="inlineStr">
        <is>
          <t>Legend</t>
        </is>
      </c>
      <c r="B3" s="31" t="inlineStr">
        <is>
          <t>Pale yellow = User input</t>
        </is>
      </c>
      <c r="C3" s="32" t="inlineStr">
        <is>
          <t>Pale blue = Calculated</t>
        </is>
      </c>
      <c r="D3" s="33" t="inlineStr">
        <is>
          <t>Red or amber = Review required</t>
        </is>
      </c>
    </row>
    <row r="5" ht="46" customHeight="1">
      <c r="A5" s="13" t="inlineStr">
        <is>
          <t>Trip ID</t>
        </is>
      </c>
      <c r="B5" s="13" t="inlineStr">
        <is>
          <t>Truck Number</t>
        </is>
      </c>
      <c r="C5" s="13" t="inlineStr">
        <is>
          <t>Driver</t>
        </is>
      </c>
      <c r="D5" s="13" t="inlineStr">
        <is>
          <t>Equipment</t>
        </is>
      </c>
      <c r="E5" s="13" t="inlineStr">
        <is>
          <t>Outbound Customer</t>
        </is>
      </c>
      <c r="F5" s="13" t="inlineStr">
        <is>
          <t>Outbound Destination City</t>
        </is>
      </c>
      <c r="G5" s="13" t="inlineStr">
        <is>
          <t>Outbound Destination State</t>
        </is>
      </c>
      <c r="H5" s="13" t="inlineStr">
        <is>
          <t>Outbound Delivery Date</t>
        </is>
      </c>
      <c r="I5" s="13" t="inlineStr">
        <is>
          <t>Outbound Delivery Time</t>
        </is>
      </c>
      <c r="J5" s="13" t="inlineStr">
        <is>
          <t>Available Date</t>
        </is>
      </c>
      <c r="K5" s="13" t="inlineStr">
        <is>
          <t>Available Time</t>
        </is>
      </c>
      <c r="L5" s="13" t="inlineStr">
        <is>
          <t>Base City</t>
        </is>
      </c>
      <c r="M5" s="13" t="inlineStr">
        <is>
          <t>Base State</t>
        </is>
      </c>
      <c r="N5" s="13" t="inlineStr">
        <is>
          <t>Baseline Empty Return Miles</t>
        </is>
      </c>
      <c r="O5" s="13" t="inlineStr">
        <is>
          <t>Trip Plan Status</t>
        </is>
      </c>
      <c r="P5" s="13" t="inlineStr">
        <is>
          <t>Selected Load ID</t>
        </is>
      </c>
      <c r="Q5" s="13" t="inlineStr">
        <is>
          <t>Load Status</t>
        </is>
      </c>
      <c r="R5" s="13" t="inlineStr">
        <is>
          <t>Broker/Customer</t>
        </is>
      </c>
      <c r="S5" s="13" t="inlineStr">
        <is>
          <t>Pickup City</t>
        </is>
      </c>
      <c r="T5" s="13" t="inlineStr">
        <is>
          <t>Pickup State</t>
        </is>
      </c>
      <c r="U5" s="13" t="inlineStr">
        <is>
          <t>Pickup Date</t>
        </is>
      </c>
      <c r="V5" s="13" t="inlineStr">
        <is>
          <t>Pickup Time</t>
        </is>
      </c>
      <c r="W5" s="13" t="inlineStr">
        <is>
          <t>Delivery City</t>
        </is>
      </c>
      <c r="X5" s="13" t="inlineStr">
        <is>
          <t>Delivery State</t>
        </is>
      </c>
      <c r="Y5" s="13" t="inlineStr">
        <is>
          <t>Delivery Date</t>
        </is>
      </c>
      <c r="Z5" s="13" t="inlineStr">
        <is>
          <t>Deadhead Miles</t>
        </is>
      </c>
      <c r="AA5" s="13" t="inlineStr">
        <is>
          <t>Loaded Miles</t>
        </is>
      </c>
      <c r="AB5" s="13" t="inlineStr">
        <is>
          <t>Empty Miles to Base</t>
        </is>
      </c>
      <c r="AC5" s="13" t="inlineStr">
        <is>
          <t>Gross Revenue</t>
        </is>
      </c>
      <c r="AD5" s="13" t="inlineStr">
        <is>
          <t>Estimated Net Contribution</t>
        </is>
      </c>
      <c r="AE5" s="13" t="inlineStr">
        <is>
          <t>Revenue/Loaded Mile</t>
        </is>
      </c>
      <c r="AF5" s="13" t="inlineStr">
        <is>
          <t>Estimated Fuel Gallons</t>
        </is>
      </c>
      <c r="AG5" s="13" t="inlineStr">
        <is>
          <t>Actual Return Miles</t>
        </is>
      </c>
      <c r="AH5" s="13" t="inlineStr">
        <is>
          <t>Pickup Wait Hours</t>
        </is>
      </c>
      <c r="AI5" s="13" t="inlineStr">
        <is>
          <t>Pickup Feasibility</t>
        </is>
      </c>
      <c r="AJ5" s="13" t="inlineStr">
        <is>
          <t>Empty Miles Avoided</t>
        </is>
      </c>
      <c r="AK5" s="13" t="inlineStr">
        <is>
          <t>Selection Check</t>
        </is>
      </c>
      <c r="AL5" s="13" t="inlineStr">
        <is>
          <t>Dispatcher Notes</t>
        </is>
      </c>
    </row>
    <row r="6">
      <c r="A6" s="34" t="inlineStr">
        <is>
          <t>TRP-2501</t>
        </is>
      </c>
      <c r="B6" s="34" t="inlineStr">
        <is>
          <t>214</t>
        </is>
      </c>
      <c r="C6" s="34" t="inlineStr">
        <is>
          <t>Marcus Reed</t>
        </is>
      </c>
      <c r="D6" s="34" t="inlineStr">
        <is>
          <t>Dry Van</t>
        </is>
      </c>
      <c r="E6" s="34" t="inlineStr">
        <is>
          <t>Heartland Furnishings</t>
        </is>
      </c>
      <c r="F6" s="34" t="inlineStr">
        <is>
          <t>Indianapolis</t>
        </is>
      </c>
      <c r="G6" s="34" t="inlineStr">
        <is>
          <t>IN</t>
        </is>
      </c>
      <c r="H6" s="69" t="n">
        <v>46269</v>
      </c>
      <c r="I6" s="36" t="n">
        <v>0.3333333333333333</v>
      </c>
      <c r="J6" s="69" t="n">
        <v>46269</v>
      </c>
      <c r="K6" s="36" t="n">
        <v>0.375</v>
      </c>
      <c r="L6" s="34" t="inlineStr">
        <is>
          <t>Columbus</t>
        </is>
      </c>
      <c r="M6" s="34" t="inlineStr">
        <is>
          <t>OH</t>
        </is>
      </c>
      <c r="N6" s="37" t="n">
        <v>176</v>
      </c>
      <c r="O6" s="34" t="inlineStr">
        <is>
          <t>Completed</t>
        </is>
      </c>
      <c r="P6" s="34" t="inlineStr">
        <is>
          <t>BH-1001</t>
        </is>
      </c>
      <c r="Q6" s="38">
        <f>IF($A6="","",IF($P6="","",IFERROR(INDEX('Opportunities'!$C$6:$C$205,MATCH($P6,'Opportunities'!$A$6:$A$205,0)),"")))</f>
        <v/>
      </c>
      <c r="R6" s="38">
        <f>IF($A6="","",IF($P6="","",IFERROR(INDEX('Opportunities'!$D$6:$D$205,MATCH($P6,'Opportunities'!$A$6:$A$205,0)),"")))</f>
        <v/>
      </c>
      <c r="S6" s="38">
        <f>IF($A6="","",IF($P6="","",IFERROR(INDEX('Opportunities'!$E$6:$E$205,MATCH($P6,'Opportunities'!$A$6:$A$205,0)),"")))</f>
        <v/>
      </c>
      <c r="T6" s="38">
        <f>IF($A6="","",IF($P6="","",IFERROR(INDEX('Opportunities'!$F$6:$F$205,MATCH($P6,'Opportunities'!$A$6:$A$205,0)),"")))</f>
        <v/>
      </c>
      <c r="U6" s="70">
        <f>IF($A6="","",IF($P6="","",IFERROR(INDEX('Opportunities'!$G$6:$G$205,MATCH($P6,'Opportunities'!$A$6:$A$205,0)),"")))</f>
        <v/>
      </c>
      <c r="V6" s="40">
        <f>IF($A6="","",IF($P6="","",IFERROR(INDEX('Opportunities'!$H$6:$H$205,MATCH($P6,'Opportunities'!$A$6:$A$205,0)),"")))</f>
        <v/>
      </c>
      <c r="W6" s="38">
        <f>IF($A6="","",IF($P6="","",IFERROR(INDEX('Opportunities'!$I$6:$I$205,MATCH($P6,'Opportunities'!$A$6:$A$205,0)),"")))</f>
        <v/>
      </c>
      <c r="X6" s="38">
        <f>IF($A6="","",IF($P6="","",IFERROR(INDEX('Opportunities'!$J$6:$J$205,MATCH($P6,'Opportunities'!$A$6:$A$205,0)),"")))</f>
        <v/>
      </c>
      <c r="Y6" s="70">
        <f>IF($A6="","",IF($P6="","",IFERROR(INDEX('Opportunities'!$K$6:$K$205,MATCH($P6,'Opportunities'!$A$6:$A$205,0)),"")))</f>
        <v/>
      </c>
      <c r="Z6" s="41">
        <f>IF($A6="","",IF($P6="","",IFERROR(INDEX('Opportunities'!$O$6:$O$205,MATCH($P6,'Opportunities'!$A$6:$A$205,0)),"")))</f>
        <v/>
      </c>
      <c r="AA6" s="41">
        <f>IF($A6="","",IF($P6="","",IFERROR(INDEX('Opportunities'!$P$6:$P$205,MATCH($P6,'Opportunities'!$A$6:$A$205,0)),"")))</f>
        <v/>
      </c>
      <c r="AB6" s="41">
        <f>IF($A6="","",IF($P6="","",IFERROR(INDEX('Opportunities'!$Q$6:$Q$205,MATCH($P6,'Opportunities'!$A$6:$A$205,0)),"")))</f>
        <v/>
      </c>
      <c r="AC6" s="71">
        <f>IF($A6="","",IF($P6="","",IFERROR(INDEX('Opportunities'!$Z$6:$Z$205,MATCH($P6,'Opportunities'!$A$6:$A$205,0)),"")))</f>
        <v/>
      </c>
      <c r="AD6" s="71">
        <f>IF($A6="","",IF($P6="","",IFERROR(INDEX('Opportunities'!$AJ$6:$AJ$205,MATCH($P6,'Opportunities'!$A$6:$A$205,0)),"")))</f>
        <v/>
      </c>
      <c r="AE6" s="72">
        <f>IF($A6="","",IF($P6="","",IFERROR(INDEX('Opportunities'!$AA$6:$AA$205,MATCH($P6,'Opportunities'!$A$6:$A$205,0)),"")))</f>
        <v/>
      </c>
      <c r="AF6" s="73">
        <f>IF($A6="","",IF($P6="","",IFERROR(INDEX('Opportunities'!$AF$6:$AF$205,MATCH($P6,'Opportunities'!$A$6:$A$205,0)),"")))</f>
        <v/>
      </c>
      <c r="AG6" s="41">
        <f>IF($A6="","",IF($P6="","",IFERROR(INDEX('Opportunities'!$AB$6:$AB$205,MATCH($P6,'Opportunities'!$A$6:$A$205,0)),"")))</f>
        <v/>
      </c>
      <c r="AH6" s="74">
        <f>IF($A6="","",IF($P6="","",IFERROR(($U6+$V6-$J6-$K6)*24,0)))</f>
        <v/>
      </c>
      <c r="AI6" s="38">
        <f>IF($A6="","",IF($P6="","No load selected",IF($AH6&lt;IFERROR($Z6/'Settings'!$B$11,0)+'Settings'!$B$12,"Too tight",IF($AH6&gt;'Settings'!$B$13,"Long wait","Feasible"))))</f>
        <v/>
      </c>
      <c r="AJ6" s="41">
        <f>IF($A6="","",IF($P6="","",$N6-$Z6-$AB6))</f>
        <v/>
      </c>
      <c r="AK6" s="38">
        <f>IF($A6="","",IF(COUNTIF($A$6:$A$205,$A6)&gt;1,"Duplicate Trip ID",IF($P6="","Open",IF(COUNTIF('Opportunities'!$A$6:$A$205,$P6)=0,"Load ID not found",IF(COUNTIFS('Opportunities'!$A$6:$A$205,$P6,'Opportunities'!$B$6:$B$205,$A6)=0,"Trip mismatch",IF(COUNTIF($P$6:$P$205,$P6)&gt;1,"Duplicate selection",IF(AND(OR($O6="Booked",$O6="Completed"),AND($Q6&lt;&gt;"Booked",$Q6&lt;&gt;"Completed")),"Status mismatch","OK")))))))</f>
        <v/>
      </c>
      <c r="AL6" s="46" t="inlineStr">
        <is>
          <t>POD received; backhaul completed.</t>
        </is>
      </c>
    </row>
    <row r="7">
      <c r="A7" s="34" t="inlineStr">
        <is>
          <t>TRP-2502</t>
        </is>
      </c>
      <c r="B7" s="34" t="inlineStr">
        <is>
          <t>318</t>
        </is>
      </c>
      <c r="C7" s="34" t="inlineStr">
        <is>
          <t>Elena Torres</t>
        </is>
      </c>
      <c r="D7" s="34" t="inlineStr">
        <is>
          <t>Reefer</t>
        </is>
      </c>
      <c r="E7" s="34" t="inlineStr">
        <is>
          <t>Freshway Foods</t>
        </is>
      </c>
      <c r="F7" s="34" t="inlineStr">
        <is>
          <t>Nashville</t>
        </is>
      </c>
      <c r="G7" s="34" t="inlineStr">
        <is>
          <t>TN</t>
        </is>
      </c>
      <c r="H7" s="69" t="n">
        <v>46273</v>
      </c>
      <c r="I7" s="36" t="n">
        <v>0.3125</v>
      </c>
      <c r="J7" s="69" t="n">
        <v>46273</v>
      </c>
      <c r="K7" s="36" t="n">
        <v>0.375</v>
      </c>
      <c r="L7" s="34" t="inlineStr">
        <is>
          <t>Louisville</t>
        </is>
      </c>
      <c r="M7" s="34" t="inlineStr">
        <is>
          <t>KY</t>
        </is>
      </c>
      <c r="N7" s="37" t="n">
        <v>175</v>
      </c>
      <c r="O7" s="34" t="inlineStr">
        <is>
          <t>Booked</t>
        </is>
      </c>
      <c r="P7" s="34" t="inlineStr">
        <is>
          <t>BH-1002</t>
        </is>
      </c>
      <c r="Q7" s="38">
        <f>IF($A7="","",IF($P7="","",IFERROR(INDEX('Opportunities'!$C$6:$C$205,MATCH($P7,'Opportunities'!$A$6:$A$205,0)),"")))</f>
        <v/>
      </c>
      <c r="R7" s="38">
        <f>IF($A7="","",IF($P7="","",IFERROR(INDEX('Opportunities'!$D$6:$D$205,MATCH($P7,'Opportunities'!$A$6:$A$205,0)),"")))</f>
        <v/>
      </c>
      <c r="S7" s="38">
        <f>IF($A7="","",IF($P7="","",IFERROR(INDEX('Opportunities'!$E$6:$E$205,MATCH($P7,'Opportunities'!$A$6:$A$205,0)),"")))</f>
        <v/>
      </c>
      <c r="T7" s="38">
        <f>IF($A7="","",IF($P7="","",IFERROR(INDEX('Opportunities'!$F$6:$F$205,MATCH($P7,'Opportunities'!$A$6:$A$205,0)),"")))</f>
        <v/>
      </c>
      <c r="U7" s="70">
        <f>IF($A7="","",IF($P7="","",IFERROR(INDEX('Opportunities'!$G$6:$G$205,MATCH($P7,'Opportunities'!$A$6:$A$205,0)),"")))</f>
        <v/>
      </c>
      <c r="V7" s="40">
        <f>IF($A7="","",IF($P7="","",IFERROR(INDEX('Opportunities'!$H$6:$H$205,MATCH($P7,'Opportunities'!$A$6:$A$205,0)),"")))</f>
        <v/>
      </c>
      <c r="W7" s="38">
        <f>IF($A7="","",IF($P7="","",IFERROR(INDEX('Opportunities'!$I$6:$I$205,MATCH($P7,'Opportunities'!$A$6:$A$205,0)),"")))</f>
        <v/>
      </c>
      <c r="X7" s="38">
        <f>IF($A7="","",IF($P7="","",IFERROR(INDEX('Opportunities'!$J$6:$J$205,MATCH($P7,'Opportunities'!$A$6:$A$205,0)),"")))</f>
        <v/>
      </c>
      <c r="Y7" s="70">
        <f>IF($A7="","",IF($P7="","",IFERROR(INDEX('Opportunities'!$K$6:$K$205,MATCH($P7,'Opportunities'!$A$6:$A$205,0)),"")))</f>
        <v/>
      </c>
      <c r="Z7" s="41">
        <f>IF($A7="","",IF($P7="","",IFERROR(INDEX('Opportunities'!$O$6:$O$205,MATCH($P7,'Opportunities'!$A$6:$A$205,0)),"")))</f>
        <v/>
      </c>
      <c r="AA7" s="41">
        <f>IF($A7="","",IF($P7="","",IFERROR(INDEX('Opportunities'!$P$6:$P$205,MATCH($P7,'Opportunities'!$A$6:$A$205,0)),"")))</f>
        <v/>
      </c>
      <c r="AB7" s="41">
        <f>IF($A7="","",IF($P7="","",IFERROR(INDEX('Opportunities'!$Q$6:$Q$205,MATCH($P7,'Opportunities'!$A$6:$A$205,0)),"")))</f>
        <v/>
      </c>
      <c r="AC7" s="71">
        <f>IF($A7="","",IF($P7="","",IFERROR(INDEX('Opportunities'!$Z$6:$Z$205,MATCH($P7,'Opportunities'!$A$6:$A$205,0)),"")))</f>
        <v/>
      </c>
      <c r="AD7" s="71">
        <f>IF($A7="","",IF($P7="","",IFERROR(INDEX('Opportunities'!$AJ$6:$AJ$205,MATCH($P7,'Opportunities'!$A$6:$A$205,0)),"")))</f>
        <v/>
      </c>
      <c r="AE7" s="72">
        <f>IF($A7="","",IF($P7="","",IFERROR(INDEX('Opportunities'!$AA$6:$AA$205,MATCH($P7,'Opportunities'!$A$6:$A$205,0)),"")))</f>
        <v/>
      </c>
      <c r="AF7" s="73">
        <f>IF($A7="","",IF($P7="","",IFERROR(INDEX('Opportunities'!$AF$6:$AF$205,MATCH($P7,'Opportunities'!$A$6:$A$205,0)),"")))</f>
        <v/>
      </c>
      <c r="AG7" s="41">
        <f>IF($A7="","",IF($P7="","",IFERROR(INDEX('Opportunities'!$AB$6:$AB$205,MATCH($P7,'Opportunities'!$A$6:$A$205,0)),"")))</f>
        <v/>
      </c>
      <c r="AH7" s="74">
        <f>IF($A7="","",IF($P7="","",IFERROR(($U7+$V7-$J7-$K7)*24,0)))</f>
        <v/>
      </c>
      <c r="AI7" s="38">
        <f>IF($A7="","",IF($P7="","No load selected",IF($AH7&lt;IFERROR($Z7/'Settings'!$B$11,0)+'Settings'!$B$12,"Too tight",IF($AH7&gt;'Settings'!$B$13,"Long wait","Feasible"))))</f>
        <v/>
      </c>
      <c r="AJ7" s="41">
        <f>IF($A7="","",IF($P7="","",$N7-$Z7-$AB7))</f>
        <v/>
      </c>
      <c r="AK7" s="38">
        <f>IF($A7="","",IF(COUNTIF($A$6:$A$205,$A7)&gt;1,"Duplicate Trip ID",IF($P7="","Open",IF(COUNTIF('Opportunities'!$A$6:$A$205,$P7)=0,"Load ID not found",IF(COUNTIFS('Opportunities'!$A$6:$A$205,$P7,'Opportunities'!$B$6:$B$205,$A7)=0,"Trip mismatch",IF(COUNTIF($P$6:$P$205,$P7)&gt;1,"Duplicate selection",IF(AND(OR($O7="Booked",$O7="Completed"),AND($Q7&lt;&gt;"Booked",$Q7&lt;&gt;"Completed")),"Status mismatch","OK")))))))</f>
        <v/>
      </c>
      <c r="AL7" s="46" t="inlineStr">
        <is>
          <t>Confirm reefer temperature before pickup.</t>
        </is>
      </c>
    </row>
    <row r="8">
      <c r="A8" s="34" t="inlineStr">
        <is>
          <t>TRP-2503</t>
        </is>
      </c>
      <c r="B8" s="34" t="inlineStr">
        <is>
          <t>227</t>
        </is>
      </c>
      <c r="C8" s="34" t="inlineStr">
        <is>
          <t>Jamal Brooks</t>
        </is>
      </c>
      <c r="D8" s="34" t="inlineStr">
        <is>
          <t>Dry Van</t>
        </is>
      </c>
      <c r="E8" s="34" t="inlineStr">
        <is>
          <t>Northstar Retail</t>
        </is>
      </c>
      <c r="F8" s="34" t="inlineStr">
        <is>
          <t>Chicago</t>
        </is>
      </c>
      <c r="G8" s="34" t="inlineStr">
        <is>
          <t>IL</t>
        </is>
      </c>
      <c r="H8" s="69" t="n">
        <v>46274</v>
      </c>
      <c r="I8" s="36" t="n">
        <v>0.3541666666666667</v>
      </c>
      <c r="J8" s="69" t="n">
        <v>46274</v>
      </c>
      <c r="K8" s="36" t="n">
        <v>0.4166666666666667</v>
      </c>
      <c r="L8" s="34" t="inlineStr">
        <is>
          <t>Grand Rapids</t>
        </is>
      </c>
      <c r="M8" s="34" t="inlineStr">
        <is>
          <t>MI</t>
        </is>
      </c>
      <c r="N8" s="37" t="n">
        <v>179</v>
      </c>
      <c r="O8" s="34" t="inlineStr">
        <is>
          <t>Tentative</t>
        </is>
      </c>
      <c r="P8" s="34" t="inlineStr">
        <is>
          <t>BH-1003</t>
        </is>
      </c>
      <c r="Q8" s="38">
        <f>IF($A8="","",IF($P8="","",IFERROR(INDEX('Opportunities'!$C$6:$C$205,MATCH($P8,'Opportunities'!$A$6:$A$205,0)),"")))</f>
        <v/>
      </c>
      <c r="R8" s="38">
        <f>IF($A8="","",IF($P8="","",IFERROR(INDEX('Opportunities'!$D$6:$D$205,MATCH($P8,'Opportunities'!$A$6:$A$205,0)),"")))</f>
        <v/>
      </c>
      <c r="S8" s="38">
        <f>IF($A8="","",IF($P8="","",IFERROR(INDEX('Opportunities'!$E$6:$E$205,MATCH($P8,'Opportunities'!$A$6:$A$205,0)),"")))</f>
        <v/>
      </c>
      <c r="T8" s="38">
        <f>IF($A8="","",IF($P8="","",IFERROR(INDEX('Opportunities'!$F$6:$F$205,MATCH($P8,'Opportunities'!$A$6:$A$205,0)),"")))</f>
        <v/>
      </c>
      <c r="U8" s="70">
        <f>IF($A8="","",IF($P8="","",IFERROR(INDEX('Opportunities'!$G$6:$G$205,MATCH($P8,'Opportunities'!$A$6:$A$205,0)),"")))</f>
        <v/>
      </c>
      <c r="V8" s="40">
        <f>IF($A8="","",IF($P8="","",IFERROR(INDEX('Opportunities'!$H$6:$H$205,MATCH($P8,'Opportunities'!$A$6:$A$205,0)),"")))</f>
        <v/>
      </c>
      <c r="W8" s="38">
        <f>IF($A8="","",IF($P8="","",IFERROR(INDEX('Opportunities'!$I$6:$I$205,MATCH($P8,'Opportunities'!$A$6:$A$205,0)),"")))</f>
        <v/>
      </c>
      <c r="X8" s="38">
        <f>IF($A8="","",IF($P8="","",IFERROR(INDEX('Opportunities'!$J$6:$J$205,MATCH($P8,'Opportunities'!$A$6:$A$205,0)),"")))</f>
        <v/>
      </c>
      <c r="Y8" s="70">
        <f>IF($A8="","",IF($P8="","",IFERROR(INDEX('Opportunities'!$K$6:$K$205,MATCH($P8,'Opportunities'!$A$6:$A$205,0)),"")))</f>
        <v/>
      </c>
      <c r="Z8" s="41">
        <f>IF($A8="","",IF($P8="","",IFERROR(INDEX('Opportunities'!$O$6:$O$205,MATCH($P8,'Opportunities'!$A$6:$A$205,0)),"")))</f>
        <v/>
      </c>
      <c r="AA8" s="41">
        <f>IF($A8="","",IF($P8="","",IFERROR(INDEX('Opportunities'!$P$6:$P$205,MATCH($P8,'Opportunities'!$A$6:$A$205,0)),"")))</f>
        <v/>
      </c>
      <c r="AB8" s="41">
        <f>IF($A8="","",IF($P8="","",IFERROR(INDEX('Opportunities'!$Q$6:$Q$205,MATCH($P8,'Opportunities'!$A$6:$A$205,0)),"")))</f>
        <v/>
      </c>
      <c r="AC8" s="71">
        <f>IF($A8="","",IF($P8="","",IFERROR(INDEX('Opportunities'!$Z$6:$Z$205,MATCH($P8,'Opportunities'!$A$6:$A$205,0)),"")))</f>
        <v/>
      </c>
      <c r="AD8" s="71">
        <f>IF($A8="","",IF($P8="","",IFERROR(INDEX('Opportunities'!$AJ$6:$AJ$205,MATCH($P8,'Opportunities'!$A$6:$A$205,0)),"")))</f>
        <v/>
      </c>
      <c r="AE8" s="72">
        <f>IF($A8="","",IF($P8="","",IFERROR(INDEX('Opportunities'!$AA$6:$AA$205,MATCH($P8,'Opportunities'!$A$6:$A$205,0)),"")))</f>
        <v/>
      </c>
      <c r="AF8" s="73">
        <f>IF($A8="","",IF($P8="","",IFERROR(INDEX('Opportunities'!$AF$6:$AF$205,MATCH($P8,'Opportunities'!$A$6:$A$205,0)),"")))</f>
        <v/>
      </c>
      <c r="AG8" s="41">
        <f>IF($A8="","",IF($P8="","",IFERROR(INDEX('Opportunities'!$AB$6:$AB$205,MATCH($P8,'Opportunities'!$A$6:$A$205,0)),"")))</f>
        <v/>
      </c>
      <c r="AH8" s="74">
        <f>IF($A8="","",IF($P8="","",IFERROR(($U8+$V8-$J8-$K8)*24,0)))</f>
        <v/>
      </c>
      <c r="AI8" s="38">
        <f>IF($A8="","",IF($P8="","No load selected",IF($AH8&lt;IFERROR($Z8/'Settings'!$B$11,0)+'Settings'!$B$12,"Too tight",IF($AH8&gt;'Settings'!$B$13,"Long wait","Feasible"))))</f>
        <v/>
      </c>
      <c r="AJ8" s="41">
        <f>IF($A8="","",IF($P8="","",$N8-$Z8-$AB8))</f>
        <v/>
      </c>
      <c r="AK8" s="38">
        <f>IF($A8="","",IF(COUNTIF($A$6:$A$205,$A8)&gt;1,"Duplicate Trip ID",IF($P8="","Open",IF(COUNTIF('Opportunities'!$A$6:$A$205,$P8)=0,"Load ID not found",IF(COUNTIFS('Opportunities'!$A$6:$A$205,$P8,'Opportunities'!$B$6:$B$205,$A8)=0,"Trip mismatch",IF(COUNTIF($P$6:$P$205,$P8)&gt;1,"Duplicate selection",IF(AND(OR($O8="Booked",$O8="Completed"),AND($Q8&lt;&gt;"Booked",$Q8&lt;&gt;"Completed")),"Status mismatch","OK")))))))</f>
        <v/>
      </c>
      <c r="AL8" s="46" t="inlineStr">
        <is>
          <t>Waiting for broker confirmation.</t>
        </is>
      </c>
    </row>
    <row r="9">
      <c r="A9" s="34" t="inlineStr">
        <is>
          <t>TRP-2504</t>
        </is>
      </c>
      <c r="B9" s="34" t="inlineStr">
        <is>
          <t>412</t>
        </is>
      </c>
      <c r="C9" s="34" t="inlineStr">
        <is>
          <t>Priya Shah</t>
        </is>
      </c>
      <c r="D9" s="34" t="inlineStr">
        <is>
          <t>Dry Van</t>
        </is>
      </c>
      <c r="E9" s="34" t="inlineStr">
        <is>
          <t>Peach State Supply</t>
        </is>
      </c>
      <c r="F9" s="34" t="inlineStr">
        <is>
          <t>Atlanta</t>
        </is>
      </c>
      <c r="G9" s="34" t="inlineStr">
        <is>
          <t>GA</t>
        </is>
      </c>
      <c r="H9" s="69" t="n">
        <v>46275</v>
      </c>
      <c r="I9" s="36" t="n">
        <v>0.2916666666666667</v>
      </c>
      <c r="J9" s="69" t="n">
        <v>46275</v>
      </c>
      <c r="K9" s="36" t="n">
        <v>0.375</v>
      </c>
      <c r="L9" s="34" t="inlineStr">
        <is>
          <t>Charlotte</t>
        </is>
      </c>
      <c r="M9" s="34" t="inlineStr">
        <is>
          <t>NC</t>
        </is>
      </c>
      <c r="N9" s="37" t="n">
        <v>245</v>
      </c>
      <c r="O9" s="34" t="inlineStr">
        <is>
          <t>Searching</t>
        </is>
      </c>
      <c r="P9" s="34" t="inlineStr"/>
      <c r="Q9" s="38">
        <f>IF($A9="","",IF($P9="","",IFERROR(INDEX('Opportunities'!$C$6:$C$205,MATCH($P9,'Opportunities'!$A$6:$A$205,0)),"")))</f>
        <v/>
      </c>
      <c r="R9" s="38">
        <f>IF($A9="","",IF($P9="","",IFERROR(INDEX('Opportunities'!$D$6:$D$205,MATCH($P9,'Opportunities'!$A$6:$A$205,0)),"")))</f>
        <v/>
      </c>
      <c r="S9" s="38">
        <f>IF($A9="","",IF($P9="","",IFERROR(INDEX('Opportunities'!$E$6:$E$205,MATCH($P9,'Opportunities'!$A$6:$A$205,0)),"")))</f>
        <v/>
      </c>
      <c r="T9" s="38">
        <f>IF($A9="","",IF($P9="","",IFERROR(INDEX('Opportunities'!$F$6:$F$205,MATCH($P9,'Opportunities'!$A$6:$A$205,0)),"")))</f>
        <v/>
      </c>
      <c r="U9" s="70">
        <f>IF($A9="","",IF($P9="","",IFERROR(INDEX('Opportunities'!$G$6:$G$205,MATCH($P9,'Opportunities'!$A$6:$A$205,0)),"")))</f>
        <v/>
      </c>
      <c r="V9" s="40">
        <f>IF($A9="","",IF($P9="","",IFERROR(INDEX('Opportunities'!$H$6:$H$205,MATCH($P9,'Opportunities'!$A$6:$A$205,0)),"")))</f>
        <v/>
      </c>
      <c r="W9" s="38">
        <f>IF($A9="","",IF($P9="","",IFERROR(INDEX('Opportunities'!$I$6:$I$205,MATCH($P9,'Opportunities'!$A$6:$A$205,0)),"")))</f>
        <v/>
      </c>
      <c r="X9" s="38">
        <f>IF($A9="","",IF($P9="","",IFERROR(INDEX('Opportunities'!$J$6:$J$205,MATCH($P9,'Opportunities'!$A$6:$A$205,0)),"")))</f>
        <v/>
      </c>
      <c r="Y9" s="70">
        <f>IF($A9="","",IF($P9="","",IFERROR(INDEX('Opportunities'!$K$6:$K$205,MATCH($P9,'Opportunities'!$A$6:$A$205,0)),"")))</f>
        <v/>
      </c>
      <c r="Z9" s="41">
        <f>IF($A9="","",IF($P9="","",IFERROR(INDEX('Opportunities'!$O$6:$O$205,MATCH($P9,'Opportunities'!$A$6:$A$205,0)),"")))</f>
        <v/>
      </c>
      <c r="AA9" s="41">
        <f>IF($A9="","",IF($P9="","",IFERROR(INDEX('Opportunities'!$P$6:$P$205,MATCH($P9,'Opportunities'!$A$6:$A$205,0)),"")))</f>
        <v/>
      </c>
      <c r="AB9" s="41">
        <f>IF($A9="","",IF($P9="","",IFERROR(INDEX('Opportunities'!$Q$6:$Q$205,MATCH($P9,'Opportunities'!$A$6:$A$205,0)),"")))</f>
        <v/>
      </c>
      <c r="AC9" s="71">
        <f>IF($A9="","",IF($P9="","",IFERROR(INDEX('Opportunities'!$Z$6:$Z$205,MATCH($P9,'Opportunities'!$A$6:$A$205,0)),"")))</f>
        <v/>
      </c>
      <c r="AD9" s="71">
        <f>IF($A9="","",IF($P9="","",IFERROR(INDEX('Opportunities'!$AJ$6:$AJ$205,MATCH($P9,'Opportunities'!$A$6:$A$205,0)),"")))</f>
        <v/>
      </c>
      <c r="AE9" s="72">
        <f>IF($A9="","",IF($P9="","",IFERROR(INDEX('Opportunities'!$AA$6:$AA$205,MATCH($P9,'Opportunities'!$A$6:$A$205,0)),"")))</f>
        <v/>
      </c>
      <c r="AF9" s="73">
        <f>IF($A9="","",IF($P9="","",IFERROR(INDEX('Opportunities'!$AF$6:$AF$205,MATCH($P9,'Opportunities'!$A$6:$A$205,0)),"")))</f>
        <v/>
      </c>
      <c r="AG9" s="41">
        <f>IF($A9="","",IF($P9="","",IFERROR(INDEX('Opportunities'!$AB$6:$AB$205,MATCH($P9,'Opportunities'!$A$6:$A$205,0)),"")))</f>
        <v/>
      </c>
      <c r="AH9" s="74">
        <f>IF($A9="","",IF($P9="","",IFERROR(($U9+$V9-$J9-$K9)*24,0)))</f>
        <v/>
      </c>
      <c r="AI9" s="38">
        <f>IF($A9="","",IF($P9="","No load selected",IF($AH9&lt;IFERROR($Z9/'Settings'!$B$11,0)+'Settings'!$B$12,"Too tight",IF($AH9&gt;'Settings'!$B$13,"Long wait","Feasible"))))</f>
        <v/>
      </c>
      <c r="AJ9" s="41">
        <f>IF($A9="","",IF($P9="","",$N9-$Z9-$AB9))</f>
        <v/>
      </c>
      <c r="AK9" s="38">
        <f>IF($A9="","",IF(COUNTIF($A$6:$A$205,$A9)&gt;1,"Duplicate Trip ID",IF($P9="","Open",IF(COUNTIF('Opportunities'!$A$6:$A$205,$P9)=0,"Load ID not found",IF(COUNTIFS('Opportunities'!$A$6:$A$205,$P9,'Opportunities'!$B$6:$B$205,$A9)=0,"Trip mismatch",IF(COUNTIF($P$6:$P$205,$P9)&gt;1,"Duplicate selection",IF(AND(OR($O9="Booked",$O9="Completed"),AND($Q9&lt;&gt;"Booked",$Q9&lt;&gt;"Completed")),"Status mismatch","OK")))))))</f>
        <v/>
      </c>
      <c r="AL9" s="46" t="inlineStr">
        <is>
          <t>Review BH-1004 before quote expiration.</t>
        </is>
      </c>
    </row>
    <row r="10">
      <c r="A10" s="34" t="inlineStr">
        <is>
          <t>TRP-2505</t>
        </is>
      </c>
      <c r="B10" s="34" t="inlineStr">
        <is>
          <t>305</t>
        </is>
      </c>
      <c r="C10" s="34" t="inlineStr">
        <is>
          <t>Daniel Kim</t>
        </is>
      </c>
      <c r="D10" s="34" t="inlineStr">
        <is>
          <t>Dry Van</t>
        </is>
      </c>
      <c r="E10" s="34" t="inlineStr">
        <is>
          <t>Lone Star Appliances</t>
        </is>
      </c>
      <c r="F10" s="34" t="inlineStr">
        <is>
          <t>Dallas</t>
        </is>
      </c>
      <c r="G10" s="34" t="inlineStr">
        <is>
          <t>TX</t>
        </is>
      </c>
      <c r="H10" s="69" t="n">
        <v>46276</v>
      </c>
      <c r="I10" s="36" t="n">
        <v>0.2708333333333333</v>
      </c>
      <c r="J10" s="69" t="n">
        <v>46276</v>
      </c>
      <c r="K10" s="36" t="n">
        <v>0.3333333333333333</v>
      </c>
      <c r="L10" s="34" t="inlineStr">
        <is>
          <t>Oklahoma City</t>
        </is>
      </c>
      <c r="M10" s="34" t="inlineStr">
        <is>
          <t>OK</t>
        </is>
      </c>
      <c r="N10" s="37" t="n">
        <v>206</v>
      </c>
      <c r="O10" s="34" t="inlineStr">
        <is>
          <t>Booked</t>
        </is>
      </c>
      <c r="P10" s="34" t="inlineStr">
        <is>
          <t>BH-1005</t>
        </is>
      </c>
      <c r="Q10" s="38">
        <f>IF($A10="","",IF($P10="","",IFERROR(INDEX('Opportunities'!$C$6:$C$205,MATCH($P10,'Opportunities'!$A$6:$A$205,0)),"")))</f>
        <v/>
      </c>
      <c r="R10" s="38">
        <f>IF($A10="","",IF($P10="","",IFERROR(INDEX('Opportunities'!$D$6:$D$205,MATCH($P10,'Opportunities'!$A$6:$A$205,0)),"")))</f>
        <v/>
      </c>
      <c r="S10" s="38">
        <f>IF($A10="","",IF($P10="","",IFERROR(INDEX('Opportunities'!$E$6:$E$205,MATCH($P10,'Opportunities'!$A$6:$A$205,0)),"")))</f>
        <v/>
      </c>
      <c r="T10" s="38">
        <f>IF($A10="","",IF($P10="","",IFERROR(INDEX('Opportunities'!$F$6:$F$205,MATCH($P10,'Opportunities'!$A$6:$A$205,0)),"")))</f>
        <v/>
      </c>
      <c r="U10" s="70">
        <f>IF($A10="","",IF($P10="","",IFERROR(INDEX('Opportunities'!$G$6:$G$205,MATCH($P10,'Opportunities'!$A$6:$A$205,0)),"")))</f>
        <v/>
      </c>
      <c r="V10" s="40">
        <f>IF($A10="","",IF($P10="","",IFERROR(INDEX('Opportunities'!$H$6:$H$205,MATCH($P10,'Opportunities'!$A$6:$A$205,0)),"")))</f>
        <v/>
      </c>
      <c r="W10" s="38">
        <f>IF($A10="","",IF($P10="","",IFERROR(INDEX('Opportunities'!$I$6:$I$205,MATCH($P10,'Opportunities'!$A$6:$A$205,0)),"")))</f>
        <v/>
      </c>
      <c r="X10" s="38">
        <f>IF($A10="","",IF($P10="","",IFERROR(INDEX('Opportunities'!$J$6:$J$205,MATCH($P10,'Opportunities'!$A$6:$A$205,0)),"")))</f>
        <v/>
      </c>
      <c r="Y10" s="70">
        <f>IF($A10="","",IF($P10="","",IFERROR(INDEX('Opportunities'!$K$6:$K$205,MATCH($P10,'Opportunities'!$A$6:$A$205,0)),"")))</f>
        <v/>
      </c>
      <c r="Z10" s="41">
        <f>IF($A10="","",IF($P10="","",IFERROR(INDEX('Opportunities'!$O$6:$O$205,MATCH($P10,'Opportunities'!$A$6:$A$205,0)),"")))</f>
        <v/>
      </c>
      <c r="AA10" s="41">
        <f>IF($A10="","",IF($P10="","",IFERROR(INDEX('Opportunities'!$P$6:$P$205,MATCH($P10,'Opportunities'!$A$6:$A$205,0)),"")))</f>
        <v/>
      </c>
      <c r="AB10" s="41">
        <f>IF($A10="","",IF($P10="","",IFERROR(INDEX('Opportunities'!$Q$6:$Q$205,MATCH($P10,'Opportunities'!$A$6:$A$205,0)),"")))</f>
        <v/>
      </c>
      <c r="AC10" s="71">
        <f>IF($A10="","",IF($P10="","",IFERROR(INDEX('Opportunities'!$Z$6:$Z$205,MATCH($P10,'Opportunities'!$A$6:$A$205,0)),"")))</f>
        <v/>
      </c>
      <c r="AD10" s="71">
        <f>IF($A10="","",IF($P10="","",IFERROR(INDEX('Opportunities'!$AJ$6:$AJ$205,MATCH($P10,'Opportunities'!$A$6:$A$205,0)),"")))</f>
        <v/>
      </c>
      <c r="AE10" s="72">
        <f>IF($A10="","",IF($P10="","",IFERROR(INDEX('Opportunities'!$AA$6:$AA$205,MATCH($P10,'Opportunities'!$A$6:$A$205,0)),"")))</f>
        <v/>
      </c>
      <c r="AF10" s="73">
        <f>IF($A10="","",IF($P10="","",IFERROR(INDEX('Opportunities'!$AF$6:$AF$205,MATCH($P10,'Opportunities'!$A$6:$A$205,0)),"")))</f>
        <v/>
      </c>
      <c r="AG10" s="41">
        <f>IF($A10="","",IF($P10="","",IFERROR(INDEX('Opportunities'!$AB$6:$AB$205,MATCH($P10,'Opportunities'!$A$6:$A$205,0)),"")))</f>
        <v/>
      </c>
      <c r="AH10" s="74">
        <f>IF($A10="","",IF($P10="","",IFERROR(($U10+$V10-$J10-$K10)*24,0)))</f>
        <v/>
      </c>
      <c r="AI10" s="38">
        <f>IF($A10="","",IF($P10="","No load selected",IF($AH10&lt;IFERROR($Z10/'Settings'!$B$11,0)+'Settings'!$B$12,"Too tight",IF($AH10&gt;'Settings'!$B$13,"Long wait","Feasible"))))</f>
        <v/>
      </c>
      <c r="AJ10" s="41">
        <f>IF($A10="","",IF($P10="","",$N10-$Z10-$AB10))</f>
        <v/>
      </c>
      <c r="AK10" s="38">
        <f>IF($A10="","",IF(COUNTIF($A$6:$A$205,$A10)&gt;1,"Duplicate Trip ID",IF($P10="","Open",IF(COUNTIF('Opportunities'!$A$6:$A$205,$P10)=0,"Load ID not found",IF(COUNTIFS('Opportunities'!$A$6:$A$205,$P10,'Opportunities'!$B$6:$B$205,$A10)=0,"Trip mismatch",IF(COUNTIF($P$6:$P$205,$P10)&gt;1,"Duplicate selection",IF(AND(OR($O10="Booked",$O10="Completed"),AND($Q10&lt;&gt;"Booked",$Q10&lt;&gt;"Completed")),"Status mismatch","OK")))))))</f>
        <v/>
      </c>
      <c r="AL10" s="46" t="inlineStr">
        <is>
          <t>Booked for service need despite low margin.</t>
        </is>
      </c>
    </row>
    <row r="11">
      <c r="A11" s="34" t="inlineStr">
        <is>
          <t>TRP-2506</t>
        </is>
      </c>
      <c r="B11" s="34" t="inlineStr">
        <is>
          <t>509</t>
        </is>
      </c>
      <c r="C11" s="34" t="inlineStr">
        <is>
          <t>Sofia Martinez</t>
        </is>
      </c>
      <c r="D11" s="34" t="inlineStr">
        <is>
          <t>Reefer</t>
        </is>
      </c>
      <c r="E11" s="34" t="inlineStr">
        <is>
          <t>Desert Medical Supply</t>
        </is>
      </c>
      <c r="F11" s="34" t="inlineStr">
        <is>
          <t>Phoenix</t>
        </is>
      </c>
      <c r="G11" s="34" t="inlineStr">
        <is>
          <t>AZ</t>
        </is>
      </c>
      <c r="H11" s="69" t="n">
        <v>46278</v>
      </c>
      <c r="I11" s="36" t="n">
        <v>0.2916666666666667</v>
      </c>
      <c r="J11" s="69" t="n">
        <v>46278</v>
      </c>
      <c r="K11" s="36" t="n">
        <v>0.3333333333333333</v>
      </c>
      <c r="L11" s="34" t="inlineStr">
        <is>
          <t>Las Vegas</t>
        </is>
      </c>
      <c r="M11" s="34" t="inlineStr">
        <is>
          <t>NV</t>
        </is>
      </c>
      <c r="N11" s="37" t="n">
        <v>300</v>
      </c>
      <c r="O11" s="34" t="inlineStr">
        <is>
          <t>No Backhaul</t>
        </is>
      </c>
      <c r="P11" s="34" t="inlineStr"/>
      <c r="Q11" s="38">
        <f>IF($A11="","",IF($P11="","",IFERROR(INDEX('Opportunities'!$C$6:$C$205,MATCH($P11,'Opportunities'!$A$6:$A$205,0)),"")))</f>
        <v/>
      </c>
      <c r="R11" s="38">
        <f>IF($A11="","",IF($P11="","",IFERROR(INDEX('Opportunities'!$D$6:$D$205,MATCH($P11,'Opportunities'!$A$6:$A$205,0)),"")))</f>
        <v/>
      </c>
      <c r="S11" s="38">
        <f>IF($A11="","",IF($P11="","",IFERROR(INDEX('Opportunities'!$E$6:$E$205,MATCH($P11,'Opportunities'!$A$6:$A$205,0)),"")))</f>
        <v/>
      </c>
      <c r="T11" s="38">
        <f>IF($A11="","",IF($P11="","",IFERROR(INDEX('Opportunities'!$F$6:$F$205,MATCH($P11,'Opportunities'!$A$6:$A$205,0)),"")))</f>
        <v/>
      </c>
      <c r="U11" s="70">
        <f>IF($A11="","",IF($P11="","",IFERROR(INDEX('Opportunities'!$G$6:$G$205,MATCH($P11,'Opportunities'!$A$6:$A$205,0)),"")))</f>
        <v/>
      </c>
      <c r="V11" s="40">
        <f>IF($A11="","",IF($P11="","",IFERROR(INDEX('Opportunities'!$H$6:$H$205,MATCH($P11,'Opportunities'!$A$6:$A$205,0)),"")))</f>
        <v/>
      </c>
      <c r="W11" s="38">
        <f>IF($A11="","",IF($P11="","",IFERROR(INDEX('Opportunities'!$I$6:$I$205,MATCH($P11,'Opportunities'!$A$6:$A$205,0)),"")))</f>
        <v/>
      </c>
      <c r="X11" s="38">
        <f>IF($A11="","",IF($P11="","",IFERROR(INDEX('Opportunities'!$J$6:$J$205,MATCH($P11,'Opportunities'!$A$6:$A$205,0)),"")))</f>
        <v/>
      </c>
      <c r="Y11" s="70">
        <f>IF($A11="","",IF($P11="","",IFERROR(INDEX('Opportunities'!$K$6:$K$205,MATCH($P11,'Opportunities'!$A$6:$A$205,0)),"")))</f>
        <v/>
      </c>
      <c r="Z11" s="41">
        <f>IF($A11="","",IF($P11="","",IFERROR(INDEX('Opportunities'!$O$6:$O$205,MATCH($P11,'Opportunities'!$A$6:$A$205,0)),"")))</f>
        <v/>
      </c>
      <c r="AA11" s="41">
        <f>IF($A11="","",IF($P11="","",IFERROR(INDEX('Opportunities'!$P$6:$P$205,MATCH($P11,'Opportunities'!$A$6:$A$205,0)),"")))</f>
        <v/>
      </c>
      <c r="AB11" s="41">
        <f>IF($A11="","",IF($P11="","",IFERROR(INDEX('Opportunities'!$Q$6:$Q$205,MATCH($P11,'Opportunities'!$A$6:$A$205,0)),"")))</f>
        <v/>
      </c>
      <c r="AC11" s="71">
        <f>IF($A11="","",IF($P11="","",IFERROR(INDEX('Opportunities'!$Z$6:$Z$205,MATCH($P11,'Opportunities'!$A$6:$A$205,0)),"")))</f>
        <v/>
      </c>
      <c r="AD11" s="71">
        <f>IF($A11="","",IF($P11="","",IFERROR(INDEX('Opportunities'!$AJ$6:$AJ$205,MATCH($P11,'Opportunities'!$A$6:$A$205,0)),"")))</f>
        <v/>
      </c>
      <c r="AE11" s="72">
        <f>IF($A11="","",IF($P11="","",IFERROR(INDEX('Opportunities'!$AA$6:$AA$205,MATCH($P11,'Opportunities'!$A$6:$A$205,0)),"")))</f>
        <v/>
      </c>
      <c r="AF11" s="73">
        <f>IF($A11="","",IF($P11="","",IFERROR(INDEX('Opportunities'!$AF$6:$AF$205,MATCH($P11,'Opportunities'!$A$6:$A$205,0)),"")))</f>
        <v/>
      </c>
      <c r="AG11" s="41">
        <f>IF($A11="","",IF($P11="","",IFERROR(INDEX('Opportunities'!$AB$6:$AB$205,MATCH($P11,'Opportunities'!$A$6:$A$205,0)),"")))</f>
        <v/>
      </c>
      <c r="AH11" s="74">
        <f>IF($A11="","",IF($P11="","",IFERROR(($U11+$V11-$J11-$K11)*24,0)))</f>
        <v/>
      </c>
      <c r="AI11" s="38">
        <f>IF($A11="","",IF($P11="","No load selected",IF($AH11&lt;IFERROR($Z11/'Settings'!$B$11,0)+'Settings'!$B$12,"Too tight",IF($AH11&gt;'Settings'!$B$13,"Long wait","Feasible"))))</f>
        <v/>
      </c>
      <c r="AJ11" s="41">
        <f>IF($A11="","",IF($P11="","",$N11-$Z11-$AB11))</f>
        <v/>
      </c>
      <c r="AK11" s="38">
        <f>IF($A11="","",IF(COUNTIF($A$6:$A$205,$A11)&gt;1,"Duplicate Trip ID",IF($P11="","Open",IF(COUNTIF('Opportunities'!$A$6:$A$205,$P11)=0,"Load ID not found",IF(COUNTIFS('Opportunities'!$A$6:$A$205,$P11,'Opportunities'!$B$6:$B$205,$A11)=0,"Trip mismatch",IF(COUNTIF($P$6:$P$205,$P11)&gt;1,"Duplicate selection",IF(AND(OR($O11="Booked",$O11="Completed"),AND($Q11&lt;&gt;"Booked",$Q11&lt;&gt;"Completed")),"Status mismatch","OK")))))))</f>
        <v/>
      </c>
      <c r="AL11" s="46" t="inlineStr">
        <is>
          <t>Return empty due to next-day commitment.</t>
        </is>
      </c>
    </row>
    <row r="12">
      <c r="A12" s="34" t="inlineStr">
        <is>
          <t>TRP-2507</t>
        </is>
      </c>
      <c r="B12" s="34" t="inlineStr">
        <is>
          <t>188</t>
        </is>
      </c>
      <c r="C12" s="34" t="inlineStr">
        <is>
          <t>Caleb Johnson</t>
        </is>
      </c>
      <c r="D12" s="34" t="inlineStr">
        <is>
          <t>Dry Van</t>
        </is>
      </c>
      <c r="E12" s="34" t="inlineStr">
        <is>
          <t>Gateway Packaging</t>
        </is>
      </c>
      <c r="F12" s="34" t="inlineStr">
        <is>
          <t>St. Louis</t>
        </is>
      </c>
      <c r="G12" s="34" t="inlineStr">
        <is>
          <t>MO</t>
        </is>
      </c>
      <c r="H12" s="69" t="n">
        <v>46271</v>
      </c>
      <c r="I12" s="36" t="n">
        <v>0.2916666666666667</v>
      </c>
      <c r="J12" s="69" t="n">
        <v>46271</v>
      </c>
      <c r="K12" s="36" t="n">
        <v>0.3541666666666667</v>
      </c>
      <c r="L12" s="34" t="inlineStr">
        <is>
          <t>Kansas City</t>
        </is>
      </c>
      <c r="M12" s="34" t="inlineStr">
        <is>
          <t>MO</t>
        </is>
      </c>
      <c r="N12" s="37" t="n">
        <v>248</v>
      </c>
      <c r="O12" s="34" t="inlineStr">
        <is>
          <t>Completed</t>
        </is>
      </c>
      <c r="P12" s="34" t="inlineStr">
        <is>
          <t>BH-1007</t>
        </is>
      </c>
      <c r="Q12" s="38">
        <f>IF($A12="","",IF($P12="","",IFERROR(INDEX('Opportunities'!$C$6:$C$205,MATCH($P12,'Opportunities'!$A$6:$A$205,0)),"")))</f>
        <v/>
      </c>
      <c r="R12" s="38">
        <f>IF($A12="","",IF($P12="","",IFERROR(INDEX('Opportunities'!$D$6:$D$205,MATCH($P12,'Opportunities'!$A$6:$A$205,0)),"")))</f>
        <v/>
      </c>
      <c r="S12" s="38">
        <f>IF($A12="","",IF($P12="","",IFERROR(INDEX('Opportunities'!$E$6:$E$205,MATCH($P12,'Opportunities'!$A$6:$A$205,0)),"")))</f>
        <v/>
      </c>
      <c r="T12" s="38">
        <f>IF($A12="","",IF($P12="","",IFERROR(INDEX('Opportunities'!$F$6:$F$205,MATCH($P12,'Opportunities'!$A$6:$A$205,0)),"")))</f>
        <v/>
      </c>
      <c r="U12" s="70">
        <f>IF($A12="","",IF($P12="","",IFERROR(INDEX('Opportunities'!$G$6:$G$205,MATCH($P12,'Opportunities'!$A$6:$A$205,0)),"")))</f>
        <v/>
      </c>
      <c r="V12" s="40">
        <f>IF($A12="","",IF($P12="","",IFERROR(INDEX('Opportunities'!$H$6:$H$205,MATCH($P12,'Opportunities'!$A$6:$A$205,0)),"")))</f>
        <v/>
      </c>
      <c r="W12" s="38">
        <f>IF($A12="","",IF($P12="","",IFERROR(INDEX('Opportunities'!$I$6:$I$205,MATCH($P12,'Opportunities'!$A$6:$A$205,0)),"")))</f>
        <v/>
      </c>
      <c r="X12" s="38">
        <f>IF($A12="","",IF($P12="","",IFERROR(INDEX('Opportunities'!$J$6:$J$205,MATCH($P12,'Opportunities'!$A$6:$A$205,0)),"")))</f>
        <v/>
      </c>
      <c r="Y12" s="70">
        <f>IF($A12="","",IF($P12="","",IFERROR(INDEX('Opportunities'!$K$6:$K$205,MATCH($P12,'Opportunities'!$A$6:$A$205,0)),"")))</f>
        <v/>
      </c>
      <c r="Z12" s="41">
        <f>IF($A12="","",IF($P12="","",IFERROR(INDEX('Opportunities'!$O$6:$O$205,MATCH($P12,'Opportunities'!$A$6:$A$205,0)),"")))</f>
        <v/>
      </c>
      <c r="AA12" s="41">
        <f>IF($A12="","",IF($P12="","",IFERROR(INDEX('Opportunities'!$P$6:$P$205,MATCH($P12,'Opportunities'!$A$6:$A$205,0)),"")))</f>
        <v/>
      </c>
      <c r="AB12" s="41">
        <f>IF($A12="","",IF($P12="","",IFERROR(INDEX('Opportunities'!$Q$6:$Q$205,MATCH($P12,'Opportunities'!$A$6:$A$205,0)),"")))</f>
        <v/>
      </c>
      <c r="AC12" s="71">
        <f>IF($A12="","",IF($P12="","",IFERROR(INDEX('Opportunities'!$Z$6:$Z$205,MATCH($P12,'Opportunities'!$A$6:$A$205,0)),"")))</f>
        <v/>
      </c>
      <c r="AD12" s="71">
        <f>IF($A12="","",IF($P12="","",IFERROR(INDEX('Opportunities'!$AJ$6:$AJ$205,MATCH($P12,'Opportunities'!$A$6:$A$205,0)),"")))</f>
        <v/>
      </c>
      <c r="AE12" s="72">
        <f>IF($A12="","",IF($P12="","",IFERROR(INDEX('Opportunities'!$AA$6:$AA$205,MATCH($P12,'Opportunities'!$A$6:$A$205,0)),"")))</f>
        <v/>
      </c>
      <c r="AF12" s="73">
        <f>IF($A12="","",IF($P12="","",IFERROR(INDEX('Opportunities'!$AF$6:$AF$205,MATCH($P12,'Opportunities'!$A$6:$A$205,0)),"")))</f>
        <v/>
      </c>
      <c r="AG12" s="41">
        <f>IF($A12="","",IF($P12="","",IFERROR(INDEX('Opportunities'!$AB$6:$AB$205,MATCH($P12,'Opportunities'!$A$6:$A$205,0)),"")))</f>
        <v/>
      </c>
      <c r="AH12" s="74">
        <f>IF($A12="","",IF($P12="","",IFERROR(($U12+$V12-$J12-$K12)*24,0)))</f>
        <v/>
      </c>
      <c r="AI12" s="38">
        <f>IF($A12="","",IF($P12="","No load selected",IF($AH12&lt;IFERROR($Z12/'Settings'!$B$11,0)+'Settings'!$B$12,"Too tight",IF($AH12&gt;'Settings'!$B$13,"Long wait","Feasible"))))</f>
        <v/>
      </c>
      <c r="AJ12" s="41">
        <f>IF($A12="","",IF($P12="","",$N12-$Z12-$AB12))</f>
        <v/>
      </c>
      <c r="AK12" s="38">
        <f>IF($A12="","",IF(COUNTIF($A$6:$A$205,$A12)&gt;1,"Duplicate Trip ID",IF($P12="","Open",IF(COUNTIF('Opportunities'!$A$6:$A$205,$P12)=0,"Load ID not found",IF(COUNTIFS('Opportunities'!$A$6:$A$205,$P12,'Opportunities'!$B$6:$B$205,$A12)=0,"Trip mismatch",IF(COUNTIF($P$6:$P$205,$P12)&gt;1,"Duplicate selection",IF(AND(OR($O12="Booked",$O12="Completed"),AND($Q12&lt;&gt;"Booked",$Q12&lt;&gt;"Completed")),"Status mismatch","OK")))))))</f>
        <v/>
      </c>
      <c r="AL12" s="46" t="inlineStr">
        <is>
          <t>Delivery paperwork complete.</t>
        </is>
      </c>
    </row>
    <row r="13">
      <c r="A13" s="34" t="inlineStr">
        <is>
          <t>TRP-2508</t>
        </is>
      </c>
      <c r="B13" s="34" t="inlineStr">
        <is>
          <t>274</t>
        </is>
      </c>
      <c r="C13" s="34" t="inlineStr">
        <is>
          <t>Hannah Nguyen</t>
        </is>
      </c>
      <c r="D13" s="34" t="inlineStr">
        <is>
          <t>Dry Van</t>
        </is>
      </c>
      <c r="E13" s="34" t="inlineStr">
        <is>
          <t>Cascade Office Products</t>
        </is>
      </c>
      <c r="F13" s="34" t="inlineStr">
        <is>
          <t>Seattle</t>
        </is>
      </c>
      <c r="G13" s="34" t="inlineStr">
        <is>
          <t>WA</t>
        </is>
      </c>
      <c r="H13" s="69" t="n">
        <v>46279</v>
      </c>
      <c r="I13" s="36" t="n">
        <v>0.2708333333333333</v>
      </c>
      <c r="J13" s="69" t="n">
        <v>46279</v>
      </c>
      <c r="K13" s="36" t="n">
        <v>0.3333333333333333</v>
      </c>
      <c r="L13" s="34" t="inlineStr">
        <is>
          <t>Portland</t>
        </is>
      </c>
      <c r="M13" s="34" t="inlineStr">
        <is>
          <t>OR</t>
        </is>
      </c>
      <c r="N13" s="37" t="n">
        <v>174</v>
      </c>
      <c r="O13" s="34" t="inlineStr">
        <is>
          <t>Tentative</t>
        </is>
      </c>
      <c r="P13" s="34" t="inlineStr">
        <is>
          <t>BH-1008</t>
        </is>
      </c>
      <c r="Q13" s="38">
        <f>IF($A13="","",IF($P13="","",IFERROR(INDEX('Opportunities'!$C$6:$C$205,MATCH($P13,'Opportunities'!$A$6:$A$205,0)),"")))</f>
        <v/>
      </c>
      <c r="R13" s="38">
        <f>IF($A13="","",IF($P13="","",IFERROR(INDEX('Opportunities'!$D$6:$D$205,MATCH($P13,'Opportunities'!$A$6:$A$205,0)),"")))</f>
        <v/>
      </c>
      <c r="S13" s="38">
        <f>IF($A13="","",IF($P13="","",IFERROR(INDEX('Opportunities'!$E$6:$E$205,MATCH($P13,'Opportunities'!$A$6:$A$205,0)),"")))</f>
        <v/>
      </c>
      <c r="T13" s="38">
        <f>IF($A13="","",IF($P13="","",IFERROR(INDEX('Opportunities'!$F$6:$F$205,MATCH($P13,'Opportunities'!$A$6:$A$205,0)),"")))</f>
        <v/>
      </c>
      <c r="U13" s="70">
        <f>IF($A13="","",IF($P13="","",IFERROR(INDEX('Opportunities'!$G$6:$G$205,MATCH($P13,'Opportunities'!$A$6:$A$205,0)),"")))</f>
        <v/>
      </c>
      <c r="V13" s="40">
        <f>IF($A13="","",IF($P13="","",IFERROR(INDEX('Opportunities'!$H$6:$H$205,MATCH($P13,'Opportunities'!$A$6:$A$205,0)),"")))</f>
        <v/>
      </c>
      <c r="W13" s="38">
        <f>IF($A13="","",IF($P13="","",IFERROR(INDEX('Opportunities'!$I$6:$I$205,MATCH($P13,'Opportunities'!$A$6:$A$205,0)),"")))</f>
        <v/>
      </c>
      <c r="X13" s="38">
        <f>IF($A13="","",IF($P13="","",IFERROR(INDEX('Opportunities'!$J$6:$J$205,MATCH($P13,'Opportunities'!$A$6:$A$205,0)),"")))</f>
        <v/>
      </c>
      <c r="Y13" s="70">
        <f>IF($A13="","",IF($P13="","",IFERROR(INDEX('Opportunities'!$K$6:$K$205,MATCH($P13,'Opportunities'!$A$6:$A$205,0)),"")))</f>
        <v/>
      </c>
      <c r="Z13" s="41">
        <f>IF($A13="","",IF($P13="","",IFERROR(INDEX('Opportunities'!$O$6:$O$205,MATCH($P13,'Opportunities'!$A$6:$A$205,0)),"")))</f>
        <v/>
      </c>
      <c r="AA13" s="41">
        <f>IF($A13="","",IF($P13="","",IFERROR(INDEX('Opportunities'!$P$6:$P$205,MATCH($P13,'Opportunities'!$A$6:$A$205,0)),"")))</f>
        <v/>
      </c>
      <c r="AB13" s="41">
        <f>IF($A13="","",IF($P13="","",IFERROR(INDEX('Opportunities'!$Q$6:$Q$205,MATCH($P13,'Opportunities'!$A$6:$A$205,0)),"")))</f>
        <v/>
      </c>
      <c r="AC13" s="71">
        <f>IF($A13="","",IF($P13="","",IFERROR(INDEX('Opportunities'!$Z$6:$Z$205,MATCH($P13,'Opportunities'!$A$6:$A$205,0)),"")))</f>
        <v/>
      </c>
      <c r="AD13" s="71">
        <f>IF($A13="","",IF($P13="","",IFERROR(INDEX('Opportunities'!$AJ$6:$AJ$205,MATCH($P13,'Opportunities'!$A$6:$A$205,0)),"")))</f>
        <v/>
      </c>
      <c r="AE13" s="72">
        <f>IF($A13="","",IF($P13="","",IFERROR(INDEX('Opportunities'!$AA$6:$AA$205,MATCH($P13,'Opportunities'!$A$6:$A$205,0)),"")))</f>
        <v/>
      </c>
      <c r="AF13" s="73">
        <f>IF($A13="","",IF($P13="","",IFERROR(INDEX('Opportunities'!$AF$6:$AF$205,MATCH($P13,'Opportunities'!$A$6:$A$205,0)),"")))</f>
        <v/>
      </c>
      <c r="AG13" s="41">
        <f>IF($A13="","",IF($P13="","",IFERROR(INDEX('Opportunities'!$AB$6:$AB$205,MATCH($P13,'Opportunities'!$A$6:$A$205,0)),"")))</f>
        <v/>
      </c>
      <c r="AH13" s="74">
        <f>IF($A13="","",IF($P13="","",IFERROR(($U13+$V13-$J13-$K13)*24,0)))</f>
        <v/>
      </c>
      <c r="AI13" s="38">
        <f>IF($A13="","",IF($P13="","No load selected",IF($AH13&lt;IFERROR($Z13/'Settings'!$B$11,0)+'Settings'!$B$12,"Too tight",IF($AH13&gt;'Settings'!$B$13,"Long wait","Feasible"))))</f>
        <v/>
      </c>
      <c r="AJ13" s="41">
        <f>IF($A13="","",IF($P13="","",$N13-$Z13-$AB13))</f>
        <v/>
      </c>
      <c r="AK13" s="38">
        <f>IF($A13="","",IF(COUNTIF($A$6:$A$205,$A13)&gt;1,"Duplicate Trip ID",IF($P13="","Open",IF(COUNTIF('Opportunities'!$A$6:$A$205,$P13)=0,"Load ID not found",IF(COUNTIFS('Opportunities'!$A$6:$A$205,$P13,'Opportunities'!$B$6:$B$205,$A13)=0,"Trip mismatch",IF(COUNTIF($P$6:$P$205,$P13)&gt;1,"Duplicate selection",IF(AND(OR($O13="Booked",$O13="Completed"),AND($Q13&lt;&gt;"Booked",$Q13&lt;&gt;"Completed")),"Status mismatch","OK")))))))</f>
        <v/>
      </c>
      <c r="AL13" s="46" t="inlineStr">
        <is>
          <t>Long wait; verify driver hours and schedule manually.</t>
        </is>
      </c>
    </row>
    <row r="14">
      <c r="A14" s="34" t="inlineStr">
        <is>
          <t>TRP-2509</t>
        </is>
      </c>
      <c r="B14" s="34" t="inlineStr">
        <is>
          <t>331</t>
        </is>
      </c>
      <c r="C14" s="34" t="inlineStr">
        <is>
          <t>Luis Rivera</t>
        </is>
      </c>
      <c r="D14" s="34" t="inlineStr">
        <is>
          <t>Reefer</t>
        </is>
      </c>
      <c r="E14" s="34" t="inlineStr">
        <is>
          <t>Coastal Hospitality</t>
        </is>
      </c>
      <c r="F14" s="34" t="inlineStr">
        <is>
          <t>Miami</t>
        </is>
      </c>
      <c r="G14" s="34" t="inlineStr">
        <is>
          <t>FL</t>
        </is>
      </c>
      <c r="H14" s="69" t="n">
        <v>46281</v>
      </c>
      <c r="I14" s="36" t="n">
        <v>0.2916666666666667</v>
      </c>
      <c r="J14" s="69" t="n">
        <v>46281</v>
      </c>
      <c r="K14" s="36" t="n">
        <v>0.375</v>
      </c>
      <c r="L14" s="34" t="inlineStr">
        <is>
          <t>Orlando</t>
        </is>
      </c>
      <c r="M14" s="34" t="inlineStr">
        <is>
          <t>FL</t>
        </is>
      </c>
      <c r="N14" s="37" t="n">
        <v>235</v>
      </c>
      <c r="O14" s="34" t="inlineStr">
        <is>
          <t>Canceled</t>
        </is>
      </c>
      <c r="P14" s="34" t="inlineStr"/>
      <c r="Q14" s="38">
        <f>IF($A14="","",IF($P14="","",IFERROR(INDEX('Opportunities'!$C$6:$C$205,MATCH($P14,'Opportunities'!$A$6:$A$205,0)),"")))</f>
        <v/>
      </c>
      <c r="R14" s="38">
        <f>IF($A14="","",IF($P14="","",IFERROR(INDEX('Opportunities'!$D$6:$D$205,MATCH($P14,'Opportunities'!$A$6:$A$205,0)),"")))</f>
        <v/>
      </c>
      <c r="S14" s="38">
        <f>IF($A14="","",IF($P14="","",IFERROR(INDEX('Opportunities'!$E$6:$E$205,MATCH($P14,'Opportunities'!$A$6:$A$205,0)),"")))</f>
        <v/>
      </c>
      <c r="T14" s="38">
        <f>IF($A14="","",IF($P14="","",IFERROR(INDEX('Opportunities'!$F$6:$F$205,MATCH($P14,'Opportunities'!$A$6:$A$205,0)),"")))</f>
        <v/>
      </c>
      <c r="U14" s="70">
        <f>IF($A14="","",IF($P14="","",IFERROR(INDEX('Opportunities'!$G$6:$G$205,MATCH($P14,'Opportunities'!$A$6:$A$205,0)),"")))</f>
        <v/>
      </c>
      <c r="V14" s="40">
        <f>IF($A14="","",IF($P14="","",IFERROR(INDEX('Opportunities'!$H$6:$H$205,MATCH($P14,'Opportunities'!$A$6:$A$205,0)),"")))</f>
        <v/>
      </c>
      <c r="W14" s="38">
        <f>IF($A14="","",IF($P14="","",IFERROR(INDEX('Opportunities'!$I$6:$I$205,MATCH($P14,'Opportunities'!$A$6:$A$205,0)),"")))</f>
        <v/>
      </c>
      <c r="X14" s="38">
        <f>IF($A14="","",IF($P14="","",IFERROR(INDEX('Opportunities'!$J$6:$J$205,MATCH($P14,'Opportunities'!$A$6:$A$205,0)),"")))</f>
        <v/>
      </c>
      <c r="Y14" s="70">
        <f>IF($A14="","",IF($P14="","",IFERROR(INDEX('Opportunities'!$K$6:$K$205,MATCH($P14,'Opportunities'!$A$6:$A$205,0)),"")))</f>
        <v/>
      </c>
      <c r="Z14" s="41">
        <f>IF($A14="","",IF($P14="","",IFERROR(INDEX('Opportunities'!$O$6:$O$205,MATCH($P14,'Opportunities'!$A$6:$A$205,0)),"")))</f>
        <v/>
      </c>
      <c r="AA14" s="41">
        <f>IF($A14="","",IF($P14="","",IFERROR(INDEX('Opportunities'!$P$6:$P$205,MATCH($P14,'Opportunities'!$A$6:$A$205,0)),"")))</f>
        <v/>
      </c>
      <c r="AB14" s="41">
        <f>IF($A14="","",IF($P14="","",IFERROR(INDEX('Opportunities'!$Q$6:$Q$205,MATCH($P14,'Opportunities'!$A$6:$A$205,0)),"")))</f>
        <v/>
      </c>
      <c r="AC14" s="71">
        <f>IF($A14="","",IF($P14="","",IFERROR(INDEX('Opportunities'!$Z$6:$Z$205,MATCH($P14,'Opportunities'!$A$6:$A$205,0)),"")))</f>
        <v/>
      </c>
      <c r="AD14" s="71">
        <f>IF($A14="","",IF($P14="","",IFERROR(INDEX('Opportunities'!$AJ$6:$AJ$205,MATCH($P14,'Opportunities'!$A$6:$A$205,0)),"")))</f>
        <v/>
      </c>
      <c r="AE14" s="72">
        <f>IF($A14="","",IF($P14="","",IFERROR(INDEX('Opportunities'!$AA$6:$AA$205,MATCH($P14,'Opportunities'!$A$6:$A$205,0)),"")))</f>
        <v/>
      </c>
      <c r="AF14" s="73">
        <f>IF($A14="","",IF($P14="","",IFERROR(INDEX('Opportunities'!$AF$6:$AF$205,MATCH($P14,'Opportunities'!$A$6:$A$205,0)),"")))</f>
        <v/>
      </c>
      <c r="AG14" s="41">
        <f>IF($A14="","",IF($P14="","",IFERROR(INDEX('Opportunities'!$AB$6:$AB$205,MATCH($P14,'Opportunities'!$A$6:$A$205,0)),"")))</f>
        <v/>
      </c>
      <c r="AH14" s="74">
        <f>IF($A14="","",IF($P14="","",IFERROR(($U14+$V14-$J14-$K14)*24,0)))</f>
        <v/>
      </c>
      <c r="AI14" s="38">
        <f>IF($A14="","",IF($P14="","No load selected",IF($AH14&lt;IFERROR($Z14/'Settings'!$B$11,0)+'Settings'!$B$12,"Too tight",IF($AH14&gt;'Settings'!$B$13,"Long wait","Feasible"))))</f>
        <v/>
      </c>
      <c r="AJ14" s="41">
        <f>IF($A14="","",IF($P14="","",$N14-$Z14-$AB14))</f>
        <v/>
      </c>
      <c r="AK14" s="38">
        <f>IF($A14="","",IF(COUNTIF($A$6:$A$205,$A14)&gt;1,"Duplicate Trip ID",IF($P14="","Open",IF(COUNTIF('Opportunities'!$A$6:$A$205,$P14)=0,"Load ID not found",IF(COUNTIFS('Opportunities'!$A$6:$A$205,$P14,'Opportunities'!$B$6:$B$205,$A14)=0,"Trip mismatch",IF(COUNTIF($P$6:$P$205,$P14)&gt;1,"Duplicate selection",IF(AND(OR($O14="Booked",$O14="Completed"),AND($Q14&lt;&gt;"Booked",$Q14&lt;&gt;"Completed")),"Status mismatch","OK")))))))</f>
        <v/>
      </c>
      <c r="AL14" s="46" t="inlineStr">
        <is>
          <t>Outbound customer canceled the trip.</t>
        </is>
      </c>
    </row>
    <row r="15">
      <c r="A15" s="34" t="inlineStr">
        <is>
          <t>TRP-2510</t>
        </is>
      </c>
      <c r="B15" s="34" t="inlineStr">
        <is>
          <t>246</t>
        </is>
      </c>
      <c r="C15" s="34" t="inlineStr">
        <is>
          <t>Avery Collins</t>
        </is>
      </c>
      <c r="D15" s="34" t="inlineStr">
        <is>
          <t>Flatbed</t>
        </is>
      </c>
      <c r="E15" s="34" t="inlineStr">
        <is>
          <t>Southern Hardware</t>
        </is>
      </c>
      <c r="F15" s="34" t="inlineStr">
        <is>
          <t>Birmingham</t>
        </is>
      </c>
      <c r="G15" s="34" t="inlineStr">
        <is>
          <t>AL</t>
        </is>
      </c>
      <c r="H15" s="69" t="n">
        <v>46282</v>
      </c>
      <c r="I15" s="36" t="n">
        <v>0.2916666666666667</v>
      </c>
      <c r="J15" s="69" t="n">
        <v>46282</v>
      </c>
      <c r="K15" s="36" t="n">
        <v>0.3333333333333333</v>
      </c>
      <c r="L15" s="34" t="inlineStr">
        <is>
          <t>Memphis</t>
        </is>
      </c>
      <c r="M15" s="34" t="inlineStr">
        <is>
          <t>TN</t>
        </is>
      </c>
      <c r="N15" s="37" t="n">
        <v>239</v>
      </c>
      <c r="O15" s="34" t="inlineStr">
        <is>
          <t>Booked</t>
        </is>
      </c>
      <c r="P15" s="34" t="inlineStr">
        <is>
          <t>BH-1010</t>
        </is>
      </c>
      <c r="Q15" s="38">
        <f>IF($A15="","",IF($P15="","",IFERROR(INDEX('Opportunities'!$C$6:$C$205,MATCH($P15,'Opportunities'!$A$6:$A$205,0)),"")))</f>
        <v/>
      </c>
      <c r="R15" s="38">
        <f>IF($A15="","",IF($P15="","",IFERROR(INDEX('Opportunities'!$D$6:$D$205,MATCH($P15,'Opportunities'!$A$6:$A$205,0)),"")))</f>
        <v/>
      </c>
      <c r="S15" s="38">
        <f>IF($A15="","",IF($P15="","",IFERROR(INDEX('Opportunities'!$E$6:$E$205,MATCH($P15,'Opportunities'!$A$6:$A$205,0)),"")))</f>
        <v/>
      </c>
      <c r="T15" s="38">
        <f>IF($A15="","",IF($P15="","",IFERROR(INDEX('Opportunities'!$F$6:$F$205,MATCH($P15,'Opportunities'!$A$6:$A$205,0)),"")))</f>
        <v/>
      </c>
      <c r="U15" s="70">
        <f>IF($A15="","",IF($P15="","",IFERROR(INDEX('Opportunities'!$G$6:$G$205,MATCH($P15,'Opportunities'!$A$6:$A$205,0)),"")))</f>
        <v/>
      </c>
      <c r="V15" s="40">
        <f>IF($A15="","",IF($P15="","",IFERROR(INDEX('Opportunities'!$H$6:$H$205,MATCH($P15,'Opportunities'!$A$6:$A$205,0)),"")))</f>
        <v/>
      </c>
      <c r="W15" s="38">
        <f>IF($A15="","",IF($P15="","",IFERROR(INDEX('Opportunities'!$I$6:$I$205,MATCH($P15,'Opportunities'!$A$6:$A$205,0)),"")))</f>
        <v/>
      </c>
      <c r="X15" s="38">
        <f>IF($A15="","",IF($P15="","",IFERROR(INDEX('Opportunities'!$J$6:$J$205,MATCH($P15,'Opportunities'!$A$6:$A$205,0)),"")))</f>
        <v/>
      </c>
      <c r="Y15" s="70">
        <f>IF($A15="","",IF($P15="","",IFERROR(INDEX('Opportunities'!$K$6:$K$205,MATCH($P15,'Opportunities'!$A$6:$A$205,0)),"")))</f>
        <v/>
      </c>
      <c r="Z15" s="41">
        <f>IF($A15="","",IF($P15="","",IFERROR(INDEX('Opportunities'!$O$6:$O$205,MATCH($P15,'Opportunities'!$A$6:$A$205,0)),"")))</f>
        <v/>
      </c>
      <c r="AA15" s="41">
        <f>IF($A15="","",IF($P15="","",IFERROR(INDEX('Opportunities'!$P$6:$P$205,MATCH($P15,'Opportunities'!$A$6:$A$205,0)),"")))</f>
        <v/>
      </c>
      <c r="AB15" s="41">
        <f>IF($A15="","",IF($P15="","",IFERROR(INDEX('Opportunities'!$Q$6:$Q$205,MATCH($P15,'Opportunities'!$A$6:$A$205,0)),"")))</f>
        <v/>
      </c>
      <c r="AC15" s="71">
        <f>IF($A15="","",IF($P15="","",IFERROR(INDEX('Opportunities'!$Z$6:$Z$205,MATCH($P15,'Opportunities'!$A$6:$A$205,0)),"")))</f>
        <v/>
      </c>
      <c r="AD15" s="71">
        <f>IF($A15="","",IF($P15="","",IFERROR(INDEX('Opportunities'!$AJ$6:$AJ$205,MATCH($P15,'Opportunities'!$A$6:$A$205,0)),"")))</f>
        <v/>
      </c>
      <c r="AE15" s="72">
        <f>IF($A15="","",IF($P15="","",IFERROR(INDEX('Opportunities'!$AA$6:$AA$205,MATCH($P15,'Opportunities'!$A$6:$A$205,0)),"")))</f>
        <v/>
      </c>
      <c r="AF15" s="73">
        <f>IF($A15="","",IF($P15="","",IFERROR(INDEX('Opportunities'!$AF$6:$AF$205,MATCH($P15,'Opportunities'!$A$6:$A$205,0)),"")))</f>
        <v/>
      </c>
      <c r="AG15" s="41">
        <f>IF($A15="","",IF($P15="","",IFERROR(INDEX('Opportunities'!$AB$6:$AB$205,MATCH($P15,'Opportunities'!$A$6:$A$205,0)),"")))</f>
        <v/>
      </c>
      <c r="AH15" s="74">
        <f>IF($A15="","",IF($P15="","",IFERROR(($U15+$V15-$J15-$K15)*24,0)))</f>
        <v/>
      </c>
      <c r="AI15" s="38">
        <f>IF($A15="","",IF($P15="","No load selected",IF($AH15&lt;IFERROR($Z15/'Settings'!$B$11,0)+'Settings'!$B$12,"Too tight",IF($AH15&gt;'Settings'!$B$13,"Long wait","Feasible"))))</f>
        <v/>
      </c>
      <c r="AJ15" s="41">
        <f>IF($A15="","",IF($P15="","",$N15-$Z15-$AB15))</f>
        <v/>
      </c>
      <c r="AK15" s="38">
        <f>IF($A15="","",IF(COUNTIF($A$6:$A$205,$A15)&gt;1,"Duplicate Trip ID",IF($P15="","Open",IF(COUNTIF('Opportunities'!$A$6:$A$205,$P15)=0,"Load ID not found",IF(COUNTIFS('Opportunities'!$A$6:$A$205,$P15,'Opportunities'!$B$6:$B$205,$A15)=0,"Trip mismatch",IF(COUNTIF($P$6:$P$205,$P15)&gt;1,"Duplicate selection",IF(AND(OR($O15="Booked",$O15="Completed"),AND($Q15&lt;&gt;"Booked",$Q15&lt;&gt;"Completed")),"Status mismatch","OK")))))))</f>
        <v/>
      </c>
      <c r="AL15" s="46" t="inlineStr">
        <is>
          <t>Confirm securement requirements with shipper.</t>
        </is>
      </c>
    </row>
    <row r="16">
      <c r="A16" s="34" t="n"/>
      <c r="B16" s="34" t="n"/>
      <c r="C16" s="34" t="n"/>
      <c r="D16" s="34" t="n"/>
      <c r="E16" s="34" t="n"/>
      <c r="F16" s="34" t="n"/>
      <c r="G16" s="34" t="n"/>
      <c r="H16" s="69" t="n"/>
      <c r="I16" s="36" t="n"/>
      <c r="J16" s="69" t="n"/>
      <c r="K16" s="36" t="n"/>
      <c r="L16" s="34" t="n"/>
      <c r="M16" s="34" t="n"/>
      <c r="N16" s="37" t="n"/>
      <c r="O16" s="34" t="n"/>
      <c r="P16" s="34" t="n"/>
      <c r="Q16" s="38">
        <f>IF($A16="","",IF($P16="","",IFERROR(INDEX('Opportunities'!$C$6:$C$205,MATCH($P16,'Opportunities'!$A$6:$A$205,0)),"")))</f>
        <v/>
      </c>
      <c r="R16" s="38">
        <f>IF($A16="","",IF($P16="","",IFERROR(INDEX('Opportunities'!$D$6:$D$205,MATCH($P16,'Opportunities'!$A$6:$A$205,0)),"")))</f>
        <v/>
      </c>
      <c r="S16" s="38">
        <f>IF($A16="","",IF($P16="","",IFERROR(INDEX('Opportunities'!$E$6:$E$205,MATCH($P16,'Opportunities'!$A$6:$A$205,0)),"")))</f>
        <v/>
      </c>
      <c r="T16" s="38">
        <f>IF($A16="","",IF($P16="","",IFERROR(INDEX('Opportunities'!$F$6:$F$205,MATCH($P16,'Opportunities'!$A$6:$A$205,0)),"")))</f>
        <v/>
      </c>
      <c r="U16" s="70">
        <f>IF($A16="","",IF($P16="","",IFERROR(INDEX('Opportunities'!$G$6:$G$205,MATCH($P16,'Opportunities'!$A$6:$A$205,0)),"")))</f>
        <v/>
      </c>
      <c r="V16" s="40">
        <f>IF($A16="","",IF($P16="","",IFERROR(INDEX('Opportunities'!$H$6:$H$205,MATCH($P16,'Opportunities'!$A$6:$A$205,0)),"")))</f>
        <v/>
      </c>
      <c r="W16" s="38">
        <f>IF($A16="","",IF($P16="","",IFERROR(INDEX('Opportunities'!$I$6:$I$205,MATCH($P16,'Opportunities'!$A$6:$A$205,0)),"")))</f>
        <v/>
      </c>
      <c r="X16" s="38">
        <f>IF($A16="","",IF($P16="","",IFERROR(INDEX('Opportunities'!$J$6:$J$205,MATCH($P16,'Opportunities'!$A$6:$A$205,0)),"")))</f>
        <v/>
      </c>
      <c r="Y16" s="70">
        <f>IF($A16="","",IF($P16="","",IFERROR(INDEX('Opportunities'!$K$6:$K$205,MATCH($P16,'Opportunities'!$A$6:$A$205,0)),"")))</f>
        <v/>
      </c>
      <c r="Z16" s="41">
        <f>IF($A16="","",IF($P16="","",IFERROR(INDEX('Opportunities'!$O$6:$O$205,MATCH($P16,'Opportunities'!$A$6:$A$205,0)),"")))</f>
        <v/>
      </c>
      <c r="AA16" s="41">
        <f>IF($A16="","",IF($P16="","",IFERROR(INDEX('Opportunities'!$P$6:$P$205,MATCH($P16,'Opportunities'!$A$6:$A$205,0)),"")))</f>
        <v/>
      </c>
      <c r="AB16" s="41">
        <f>IF($A16="","",IF($P16="","",IFERROR(INDEX('Opportunities'!$Q$6:$Q$205,MATCH($P16,'Opportunities'!$A$6:$A$205,0)),"")))</f>
        <v/>
      </c>
      <c r="AC16" s="71">
        <f>IF($A16="","",IF($P16="","",IFERROR(INDEX('Opportunities'!$Z$6:$Z$205,MATCH($P16,'Opportunities'!$A$6:$A$205,0)),"")))</f>
        <v/>
      </c>
      <c r="AD16" s="71">
        <f>IF($A16="","",IF($P16="","",IFERROR(INDEX('Opportunities'!$AJ$6:$AJ$205,MATCH($P16,'Opportunities'!$A$6:$A$205,0)),"")))</f>
        <v/>
      </c>
      <c r="AE16" s="72">
        <f>IF($A16="","",IF($P16="","",IFERROR(INDEX('Opportunities'!$AA$6:$AA$205,MATCH($P16,'Opportunities'!$A$6:$A$205,0)),"")))</f>
        <v/>
      </c>
      <c r="AF16" s="73">
        <f>IF($A16="","",IF($P16="","",IFERROR(INDEX('Opportunities'!$AF$6:$AF$205,MATCH($P16,'Opportunities'!$A$6:$A$205,0)),"")))</f>
        <v/>
      </c>
      <c r="AG16" s="41">
        <f>IF($A16="","",IF($P16="","",IFERROR(INDEX('Opportunities'!$AB$6:$AB$205,MATCH($P16,'Opportunities'!$A$6:$A$205,0)),"")))</f>
        <v/>
      </c>
      <c r="AH16" s="74">
        <f>IF($A16="","",IF($P16="","",IFERROR(($U16+$V16-$J16-$K16)*24,0)))</f>
        <v/>
      </c>
      <c r="AI16" s="38">
        <f>IF($A16="","",IF($P16="","No load selected",IF($AH16&lt;IFERROR($Z16/'Settings'!$B$11,0)+'Settings'!$B$12,"Too tight",IF($AH16&gt;'Settings'!$B$13,"Long wait","Feasible"))))</f>
        <v/>
      </c>
      <c r="AJ16" s="41">
        <f>IF($A16="","",IF($P16="","",$N16-$Z16-$AB16))</f>
        <v/>
      </c>
      <c r="AK16" s="38">
        <f>IF($A16="","",IF(COUNTIF($A$6:$A$205,$A16)&gt;1,"Duplicate Trip ID",IF($P16="","Open",IF(COUNTIF('Opportunities'!$A$6:$A$205,$P16)=0,"Load ID not found",IF(COUNTIFS('Opportunities'!$A$6:$A$205,$P16,'Opportunities'!$B$6:$B$205,$A16)=0,"Trip mismatch",IF(COUNTIF($P$6:$P$205,$P16)&gt;1,"Duplicate selection",IF(AND(OR($O16="Booked",$O16="Completed"),AND($Q16&lt;&gt;"Booked",$Q16&lt;&gt;"Completed")),"Status mismatch","OK")))))))</f>
        <v/>
      </c>
      <c r="AL16" s="46" t="n"/>
    </row>
    <row r="17">
      <c r="A17" s="34" t="n"/>
      <c r="B17" s="34" t="n"/>
      <c r="C17" s="34" t="n"/>
      <c r="D17" s="34" t="n"/>
      <c r="E17" s="34" t="n"/>
      <c r="F17" s="34" t="n"/>
      <c r="G17" s="34" t="n"/>
      <c r="H17" s="69" t="n"/>
      <c r="I17" s="36" t="n"/>
      <c r="J17" s="69" t="n"/>
      <c r="K17" s="36" t="n"/>
      <c r="L17" s="34" t="n"/>
      <c r="M17" s="34" t="n"/>
      <c r="N17" s="37" t="n"/>
      <c r="O17" s="34" t="n"/>
      <c r="P17" s="34" t="n"/>
      <c r="Q17" s="38">
        <f>IF($A17="","",IF($P17="","",IFERROR(INDEX('Opportunities'!$C$6:$C$205,MATCH($P17,'Opportunities'!$A$6:$A$205,0)),"")))</f>
        <v/>
      </c>
      <c r="R17" s="38">
        <f>IF($A17="","",IF($P17="","",IFERROR(INDEX('Opportunities'!$D$6:$D$205,MATCH($P17,'Opportunities'!$A$6:$A$205,0)),"")))</f>
        <v/>
      </c>
      <c r="S17" s="38">
        <f>IF($A17="","",IF($P17="","",IFERROR(INDEX('Opportunities'!$E$6:$E$205,MATCH($P17,'Opportunities'!$A$6:$A$205,0)),"")))</f>
        <v/>
      </c>
      <c r="T17" s="38">
        <f>IF($A17="","",IF($P17="","",IFERROR(INDEX('Opportunities'!$F$6:$F$205,MATCH($P17,'Opportunities'!$A$6:$A$205,0)),"")))</f>
        <v/>
      </c>
      <c r="U17" s="70">
        <f>IF($A17="","",IF($P17="","",IFERROR(INDEX('Opportunities'!$G$6:$G$205,MATCH($P17,'Opportunities'!$A$6:$A$205,0)),"")))</f>
        <v/>
      </c>
      <c r="V17" s="40">
        <f>IF($A17="","",IF($P17="","",IFERROR(INDEX('Opportunities'!$H$6:$H$205,MATCH($P17,'Opportunities'!$A$6:$A$205,0)),"")))</f>
        <v/>
      </c>
      <c r="W17" s="38">
        <f>IF($A17="","",IF($P17="","",IFERROR(INDEX('Opportunities'!$I$6:$I$205,MATCH($P17,'Opportunities'!$A$6:$A$205,0)),"")))</f>
        <v/>
      </c>
      <c r="X17" s="38">
        <f>IF($A17="","",IF($P17="","",IFERROR(INDEX('Opportunities'!$J$6:$J$205,MATCH($P17,'Opportunities'!$A$6:$A$205,0)),"")))</f>
        <v/>
      </c>
      <c r="Y17" s="70">
        <f>IF($A17="","",IF($P17="","",IFERROR(INDEX('Opportunities'!$K$6:$K$205,MATCH($P17,'Opportunities'!$A$6:$A$205,0)),"")))</f>
        <v/>
      </c>
      <c r="Z17" s="41">
        <f>IF($A17="","",IF($P17="","",IFERROR(INDEX('Opportunities'!$O$6:$O$205,MATCH($P17,'Opportunities'!$A$6:$A$205,0)),"")))</f>
        <v/>
      </c>
      <c r="AA17" s="41">
        <f>IF($A17="","",IF($P17="","",IFERROR(INDEX('Opportunities'!$P$6:$P$205,MATCH($P17,'Opportunities'!$A$6:$A$205,0)),"")))</f>
        <v/>
      </c>
      <c r="AB17" s="41">
        <f>IF($A17="","",IF($P17="","",IFERROR(INDEX('Opportunities'!$Q$6:$Q$205,MATCH($P17,'Opportunities'!$A$6:$A$205,0)),"")))</f>
        <v/>
      </c>
      <c r="AC17" s="71">
        <f>IF($A17="","",IF($P17="","",IFERROR(INDEX('Opportunities'!$Z$6:$Z$205,MATCH($P17,'Opportunities'!$A$6:$A$205,0)),"")))</f>
        <v/>
      </c>
      <c r="AD17" s="71">
        <f>IF($A17="","",IF($P17="","",IFERROR(INDEX('Opportunities'!$AJ$6:$AJ$205,MATCH($P17,'Opportunities'!$A$6:$A$205,0)),"")))</f>
        <v/>
      </c>
      <c r="AE17" s="72">
        <f>IF($A17="","",IF($P17="","",IFERROR(INDEX('Opportunities'!$AA$6:$AA$205,MATCH($P17,'Opportunities'!$A$6:$A$205,0)),"")))</f>
        <v/>
      </c>
      <c r="AF17" s="73">
        <f>IF($A17="","",IF($P17="","",IFERROR(INDEX('Opportunities'!$AF$6:$AF$205,MATCH($P17,'Opportunities'!$A$6:$A$205,0)),"")))</f>
        <v/>
      </c>
      <c r="AG17" s="41">
        <f>IF($A17="","",IF($P17="","",IFERROR(INDEX('Opportunities'!$AB$6:$AB$205,MATCH($P17,'Opportunities'!$A$6:$A$205,0)),"")))</f>
        <v/>
      </c>
      <c r="AH17" s="74">
        <f>IF($A17="","",IF($P17="","",IFERROR(($U17+$V17-$J17-$K17)*24,0)))</f>
        <v/>
      </c>
      <c r="AI17" s="38">
        <f>IF($A17="","",IF($P17="","No load selected",IF($AH17&lt;IFERROR($Z17/'Settings'!$B$11,0)+'Settings'!$B$12,"Too tight",IF($AH17&gt;'Settings'!$B$13,"Long wait","Feasible"))))</f>
        <v/>
      </c>
      <c r="AJ17" s="41">
        <f>IF($A17="","",IF($P17="","",$N17-$Z17-$AB17))</f>
        <v/>
      </c>
      <c r="AK17" s="38">
        <f>IF($A17="","",IF(COUNTIF($A$6:$A$205,$A17)&gt;1,"Duplicate Trip ID",IF($P17="","Open",IF(COUNTIF('Opportunities'!$A$6:$A$205,$P17)=0,"Load ID not found",IF(COUNTIFS('Opportunities'!$A$6:$A$205,$P17,'Opportunities'!$B$6:$B$205,$A17)=0,"Trip mismatch",IF(COUNTIF($P$6:$P$205,$P17)&gt;1,"Duplicate selection",IF(AND(OR($O17="Booked",$O17="Completed"),AND($Q17&lt;&gt;"Booked",$Q17&lt;&gt;"Completed")),"Status mismatch","OK")))))))</f>
        <v/>
      </c>
      <c r="AL17" s="46" t="n"/>
    </row>
    <row r="18">
      <c r="A18" s="34" t="n"/>
      <c r="B18" s="34" t="n"/>
      <c r="C18" s="34" t="n"/>
      <c r="D18" s="34" t="n"/>
      <c r="E18" s="34" t="n"/>
      <c r="F18" s="34" t="n"/>
      <c r="G18" s="34" t="n"/>
      <c r="H18" s="69" t="n"/>
      <c r="I18" s="36" t="n"/>
      <c r="J18" s="69" t="n"/>
      <c r="K18" s="36" t="n"/>
      <c r="L18" s="34" t="n"/>
      <c r="M18" s="34" t="n"/>
      <c r="N18" s="37" t="n"/>
      <c r="O18" s="34" t="n"/>
      <c r="P18" s="34" t="n"/>
      <c r="Q18" s="38">
        <f>IF($A18="","",IF($P18="","",IFERROR(INDEX('Opportunities'!$C$6:$C$205,MATCH($P18,'Opportunities'!$A$6:$A$205,0)),"")))</f>
        <v/>
      </c>
      <c r="R18" s="38">
        <f>IF($A18="","",IF($P18="","",IFERROR(INDEX('Opportunities'!$D$6:$D$205,MATCH($P18,'Opportunities'!$A$6:$A$205,0)),"")))</f>
        <v/>
      </c>
      <c r="S18" s="38">
        <f>IF($A18="","",IF($P18="","",IFERROR(INDEX('Opportunities'!$E$6:$E$205,MATCH($P18,'Opportunities'!$A$6:$A$205,0)),"")))</f>
        <v/>
      </c>
      <c r="T18" s="38">
        <f>IF($A18="","",IF($P18="","",IFERROR(INDEX('Opportunities'!$F$6:$F$205,MATCH($P18,'Opportunities'!$A$6:$A$205,0)),"")))</f>
        <v/>
      </c>
      <c r="U18" s="70">
        <f>IF($A18="","",IF($P18="","",IFERROR(INDEX('Opportunities'!$G$6:$G$205,MATCH($P18,'Opportunities'!$A$6:$A$205,0)),"")))</f>
        <v/>
      </c>
      <c r="V18" s="40">
        <f>IF($A18="","",IF($P18="","",IFERROR(INDEX('Opportunities'!$H$6:$H$205,MATCH($P18,'Opportunities'!$A$6:$A$205,0)),"")))</f>
        <v/>
      </c>
      <c r="W18" s="38">
        <f>IF($A18="","",IF($P18="","",IFERROR(INDEX('Opportunities'!$I$6:$I$205,MATCH($P18,'Opportunities'!$A$6:$A$205,0)),"")))</f>
        <v/>
      </c>
      <c r="X18" s="38">
        <f>IF($A18="","",IF($P18="","",IFERROR(INDEX('Opportunities'!$J$6:$J$205,MATCH($P18,'Opportunities'!$A$6:$A$205,0)),"")))</f>
        <v/>
      </c>
      <c r="Y18" s="70">
        <f>IF($A18="","",IF($P18="","",IFERROR(INDEX('Opportunities'!$K$6:$K$205,MATCH($P18,'Opportunities'!$A$6:$A$205,0)),"")))</f>
        <v/>
      </c>
      <c r="Z18" s="41">
        <f>IF($A18="","",IF($P18="","",IFERROR(INDEX('Opportunities'!$O$6:$O$205,MATCH($P18,'Opportunities'!$A$6:$A$205,0)),"")))</f>
        <v/>
      </c>
      <c r="AA18" s="41">
        <f>IF($A18="","",IF($P18="","",IFERROR(INDEX('Opportunities'!$P$6:$P$205,MATCH($P18,'Opportunities'!$A$6:$A$205,0)),"")))</f>
        <v/>
      </c>
      <c r="AB18" s="41">
        <f>IF($A18="","",IF($P18="","",IFERROR(INDEX('Opportunities'!$Q$6:$Q$205,MATCH($P18,'Opportunities'!$A$6:$A$205,0)),"")))</f>
        <v/>
      </c>
      <c r="AC18" s="71">
        <f>IF($A18="","",IF($P18="","",IFERROR(INDEX('Opportunities'!$Z$6:$Z$205,MATCH($P18,'Opportunities'!$A$6:$A$205,0)),"")))</f>
        <v/>
      </c>
      <c r="AD18" s="71">
        <f>IF($A18="","",IF($P18="","",IFERROR(INDEX('Opportunities'!$AJ$6:$AJ$205,MATCH($P18,'Opportunities'!$A$6:$A$205,0)),"")))</f>
        <v/>
      </c>
      <c r="AE18" s="72">
        <f>IF($A18="","",IF($P18="","",IFERROR(INDEX('Opportunities'!$AA$6:$AA$205,MATCH($P18,'Opportunities'!$A$6:$A$205,0)),"")))</f>
        <v/>
      </c>
      <c r="AF18" s="73">
        <f>IF($A18="","",IF($P18="","",IFERROR(INDEX('Opportunities'!$AF$6:$AF$205,MATCH($P18,'Opportunities'!$A$6:$A$205,0)),"")))</f>
        <v/>
      </c>
      <c r="AG18" s="41">
        <f>IF($A18="","",IF($P18="","",IFERROR(INDEX('Opportunities'!$AB$6:$AB$205,MATCH($P18,'Opportunities'!$A$6:$A$205,0)),"")))</f>
        <v/>
      </c>
      <c r="AH18" s="74">
        <f>IF($A18="","",IF($P18="","",IFERROR(($U18+$V18-$J18-$K18)*24,0)))</f>
        <v/>
      </c>
      <c r="AI18" s="38">
        <f>IF($A18="","",IF($P18="","No load selected",IF($AH18&lt;IFERROR($Z18/'Settings'!$B$11,0)+'Settings'!$B$12,"Too tight",IF($AH18&gt;'Settings'!$B$13,"Long wait","Feasible"))))</f>
        <v/>
      </c>
      <c r="AJ18" s="41">
        <f>IF($A18="","",IF($P18="","",$N18-$Z18-$AB18))</f>
        <v/>
      </c>
      <c r="AK18" s="38">
        <f>IF($A18="","",IF(COUNTIF($A$6:$A$205,$A18)&gt;1,"Duplicate Trip ID",IF($P18="","Open",IF(COUNTIF('Opportunities'!$A$6:$A$205,$P18)=0,"Load ID not found",IF(COUNTIFS('Opportunities'!$A$6:$A$205,$P18,'Opportunities'!$B$6:$B$205,$A18)=0,"Trip mismatch",IF(COUNTIF($P$6:$P$205,$P18)&gt;1,"Duplicate selection",IF(AND(OR($O18="Booked",$O18="Completed"),AND($Q18&lt;&gt;"Booked",$Q18&lt;&gt;"Completed")),"Status mismatch","OK")))))))</f>
        <v/>
      </c>
      <c r="AL18" s="46" t="n"/>
    </row>
    <row r="19">
      <c r="A19" s="34" t="n"/>
      <c r="B19" s="34" t="n"/>
      <c r="C19" s="34" t="n"/>
      <c r="D19" s="34" t="n"/>
      <c r="E19" s="34" t="n"/>
      <c r="F19" s="34" t="n"/>
      <c r="G19" s="34" t="n"/>
      <c r="H19" s="69" t="n"/>
      <c r="I19" s="36" t="n"/>
      <c r="J19" s="69" t="n"/>
      <c r="K19" s="36" t="n"/>
      <c r="L19" s="34" t="n"/>
      <c r="M19" s="34" t="n"/>
      <c r="N19" s="37" t="n"/>
      <c r="O19" s="34" t="n"/>
      <c r="P19" s="34" t="n"/>
      <c r="Q19" s="38">
        <f>IF($A19="","",IF($P19="","",IFERROR(INDEX('Opportunities'!$C$6:$C$205,MATCH($P19,'Opportunities'!$A$6:$A$205,0)),"")))</f>
        <v/>
      </c>
      <c r="R19" s="38">
        <f>IF($A19="","",IF($P19="","",IFERROR(INDEX('Opportunities'!$D$6:$D$205,MATCH($P19,'Opportunities'!$A$6:$A$205,0)),"")))</f>
        <v/>
      </c>
      <c r="S19" s="38">
        <f>IF($A19="","",IF($P19="","",IFERROR(INDEX('Opportunities'!$E$6:$E$205,MATCH($P19,'Opportunities'!$A$6:$A$205,0)),"")))</f>
        <v/>
      </c>
      <c r="T19" s="38">
        <f>IF($A19="","",IF($P19="","",IFERROR(INDEX('Opportunities'!$F$6:$F$205,MATCH($P19,'Opportunities'!$A$6:$A$205,0)),"")))</f>
        <v/>
      </c>
      <c r="U19" s="70">
        <f>IF($A19="","",IF($P19="","",IFERROR(INDEX('Opportunities'!$G$6:$G$205,MATCH($P19,'Opportunities'!$A$6:$A$205,0)),"")))</f>
        <v/>
      </c>
      <c r="V19" s="40">
        <f>IF($A19="","",IF($P19="","",IFERROR(INDEX('Opportunities'!$H$6:$H$205,MATCH($P19,'Opportunities'!$A$6:$A$205,0)),"")))</f>
        <v/>
      </c>
      <c r="W19" s="38">
        <f>IF($A19="","",IF($P19="","",IFERROR(INDEX('Opportunities'!$I$6:$I$205,MATCH($P19,'Opportunities'!$A$6:$A$205,0)),"")))</f>
        <v/>
      </c>
      <c r="X19" s="38">
        <f>IF($A19="","",IF($P19="","",IFERROR(INDEX('Opportunities'!$J$6:$J$205,MATCH($P19,'Opportunities'!$A$6:$A$205,0)),"")))</f>
        <v/>
      </c>
      <c r="Y19" s="70">
        <f>IF($A19="","",IF($P19="","",IFERROR(INDEX('Opportunities'!$K$6:$K$205,MATCH($P19,'Opportunities'!$A$6:$A$205,0)),"")))</f>
        <v/>
      </c>
      <c r="Z19" s="41">
        <f>IF($A19="","",IF($P19="","",IFERROR(INDEX('Opportunities'!$O$6:$O$205,MATCH($P19,'Opportunities'!$A$6:$A$205,0)),"")))</f>
        <v/>
      </c>
      <c r="AA19" s="41">
        <f>IF($A19="","",IF($P19="","",IFERROR(INDEX('Opportunities'!$P$6:$P$205,MATCH($P19,'Opportunities'!$A$6:$A$205,0)),"")))</f>
        <v/>
      </c>
      <c r="AB19" s="41">
        <f>IF($A19="","",IF($P19="","",IFERROR(INDEX('Opportunities'!$Q$6:$Q$205,MATCH($P19,'Opportunities'!$A$6:$A$205,0)),"")))</f>
        <v/>
      </c>
      <c r="AC19" s="71">
        <f>IF($A19="","",IF($P19="","",IFERROR(INDEX('Opportunities'!$Z$6:$Z$205,MATCH($P19,'Opportunities'!$A$6:$A$205,0)),"")))</f>
        <v/>
      </c>
      <c r="AD19" s="71">
        <f>IF($A19="","",IF($P19="","",IFERROR(INDEX('Opportunities'!$AJ$6:$AJ$205,MATCH($P19,'Opportunities'!$A$6:$A$205,0)),"")))</f>
        <v/>
      </c>
      <c r="AE19" s="72">
        <f>IF($A19="","",IF($P19="","",IFERROR(INDEX('Opportunities'!$AA$6:$AA$205,MATCH($P19,'Opportunities'!$A$6:$A$205,0)),"")))</f>
        <v/>
      </c>
      <c r="AF19" s="73">
        <f>IF($A19="","",IF($P19="","",IFERROR(INDEX('Opportunities'!$AF$6:$AF$205,MATCH($P19,'Opportunities'!$A$6:$A$205,0)),"")))</f>
        <v/>
      </c>
      <c r="AG19" s="41">
        <f>IF($A19="","",IF($P19="","",IFERROR(INDEX('Opportunities'!$AB$6:$AB$205,MATCH($P19,'Opportunities'!$A$6:$A$205,0)),"")))</f>
        <v/>
      </c>
      <c r="AH19" s="74">
        <f>IF($A19="","",IF($P19="","",IFERROR(($U19+$V19-$J19-$K19)*24,0)))</f>
        <v/>
      </c>
      <c r="AI19" s="38">
        <f>IF($A19="","",IF($P19="","No load selected",IF($AH19&lt;IFERROR($Z19/'Settings'!$B$11,0)+'Settings'!$B$12,"Too tight",IF($AH19&gt;'Settings'!$B$13,"Long wait","Feasible"))))</f>
        <v/>
      </c>
      <c r="AJ19" s="41">
        <f>IF($A19="","",IF($P19="","",$N19-$Z19-$AB19))</f>
        <v/>
      </c>
      <c r="AK19" s="38">
        <f>IF($A19="","",IF(COUNTIF($A$6:$A$205,$A19)&gt;1,"Duplicate Trip ID",IF($P19="","Open",IF(COUNTIF('Opportunities'!$A$6:$A$205,$P19)=0,"Load ID not found",IF(COUNTIFS('Opportunities'!$A$6:$A$205,$P19,'Opportunities'!$B$6:$B$205,$A19)=0,"Trip mismatch",IF(COUNTIF($P$6:$P$205,$P19)&gt;1,"Duplicate selection",IF(AND(OR($O19="Booked",$O19="Completed"),AND($Q19&lt;&gt;"Booked",$Q19&lt;&gt;"Completed")),"Status mismatch","OK")))))))</f>
        <v/>
      </c>
      <c r="AL19" s="46" t="n"/>
    </row>
    <row r="20">
      <c r="A20" s="34" t="n"/>
      <c r="B20" s="34" t="n"/>
      <c r="C20" s="34" t="n"/>
      <c r="D20" s="34" t="n"/>
      <c r="E20" s="34" t="n"/>
      <c r="F20" s="34" t="n"/>
      <c r="G20" s="34" t="n"/>
      <c r="H20" s="69" t="n"/>
      <c r="I20" s="36" t="n"/>
      <c r="J20" s="69" t="n"/>
      <c r="K20" s="36" t="n"/>
      <c r="L20" s="34" t="n"/>
      <c r="M20" s="34" t="n"/>
      <c r="N20" s="37" t="n"/>
      <c r="O20" s="34" t="n"/>
      <c r="P20" s="34" t="n"/>
      <c r="Q20" s="38">
        <f>IF($A20="","",IF($P20="","",IFERROR(INDEX('Opportunities'!$C$6:$C$205,MATCH($P20,'Opportunities'!$A$6:$A$205,0)),"")))</f>
        <v/>
      </c>
      <c r="R20" s="38">
        <f>IF($A20="","",IF($P20="","",IFERROR(INDEX('Opportunities'!$D$6:$D$205,MATCH($P20,'Opportunities'!$A$6:$A$205,0)),"")))</f>
        <v/>
      </c>
      <c r="S20" s="38">
        <f>IF($A20="","",IF($P20="","",IFERROR(INDEX('Opportunities'!$E$6:$E$205,MATCH($P20,'Opportunities'!$A$6:$A$205,0)),"")))</f>
        <v/>
      </c>
      <c r="T20" s="38">
        <f>IF($A20="","",IF($P20="","",IFERROR(INDEX('Opportunities'!$F$6:$F$205,MATCH($P20,'Opportunities'!$A$6:$A$205,0)),"")))</f>
        <v/>
      </c>
      <c r="U20" s="70">
        <f>IF($A20="","",IF($P20="","",IFERROR(INDEX('Opportunities'!$G$6:$G$205,MATCH($P20,'Opportunities'!$A$6:$A$205,0)),"")))</f>
        <v/>
      </c>
      <c r="V20" s="40">
        <f>IF($A20="","",IF($P20="","",IFERROR(INDEX('Opportunities'!$H$6:$H$205,MATCH($P20,'Opportunities'!$A$6:$A$205,0)),"")))</f>
        <v/>
      </c>
      <c r="W20" s="38">
        <f>IF($A20="","",IF($P20="","",IFERROR(INDEX('Opportunities'!$I$6:$I$205,MATCH($P20,'Opportunities'!$A$6:$A$205,0)),"")))</f>
        <v/>
      </c>
      <c r="X20" s="38">
        <f>IF($A20="","",IF($P20="","",IFERROR(INDEX('Opportunities'!$J$6:$J$205,MATCH($P20,'Opportunities'!$A$6:$A$205,0)),"")))</f>
        <v/>
      </c>
      <c r="Y20" s="70">
        <f>IF($A20="","",IF($P20="","",IFERROR(INDEX('Opportunities'!$K$6:$K$205,MATCH($P20,'Opportunities'!$A$6:$A$205,0)),"")))</f>
        <v/>
      </c>
      <c r="Z20" s="41">
        <f>IF($A20="","",IF($P20="","",IFERROR(INDEX('Opportunities'!$O$6:$O$205,MATCH($P20,'Opportunities'!$A$6:$A$205,0)),"")))</f>
        <v/>
      </c>
      <c r="AA20" s="41">
        <f>IF($A20="","",IF($P20="","",IFERROR(INDEX('Opportunities'!$P$6:$P$205,MATCH($P20,'Opportunities'!$A$6:$A$205,0)),"")))</f>
        <v/>
      </c>
      <c r="AB20" s="41">
        <f>IF($A20="","",IF($P20="","",IFERROR(INDEX('Opportunities'!$Q$6:$Q$205,MATCH($P20,'Opportunities'!$A$6:$A$205,0)),"")))</f>
        <v/>
      </c>
      <c r="AC20" s="71">
        <f>IF($A20="","",IF($P20="","",IFERROR(INDEX('Opportunities'!$Z$6:$Z$205,MATCH($P20,'Opportunities'!$A$6:$A$205,0)),"")))</f>
        <v/>
      </c>
      <c r="AD20" s="71">
        <f>IF($A20="","",IF($P20="","",IFERROR(INDEX('Opportunities'!$AJ$6:$AJ$205,MATCH($P20,'Opportunities'!$A$6:$A$205,0)),"")))</f>
        <v/>
      </c>
      <c r="AE20" s="72">
        <f>IF($A20="","",IF($P20="","",IFERROR(INDEX('Opportunities'!$AA$6:$AA$205,MATCH($P20,'Opportunities'!$A$6:$A$205,0)),"")))</f>
        <v/>
      </c>
      <c r="AF20" s="73">
        <f>IF($A20="","",IF($P20="","",IFERROR(INDEX('Opportunities'!$AF$6:$AF$205,MATCH($P20,'Opportunities'!$A$6:$A$205,0)),"")))</f>
        <v/>
      </c>
      <c r="AG20" s="41">
        <f>IF($A20="","",IF($P20="","",IFERROR(INDEX('Opportunities'!$AB$6:$AB$205,MATCH($P20,'Opportunities'!$A$6:$A$205,0)),"")))</f>
        <v/>
      </c>
      <c r="AH20" s="74">
        <f>IF($A20="","",IF($P20="","",IFERROR(($U20+$V20-$J20-$K20)*24,0)))</f>
        <v/>
      </c>
      <c r="AI20" s="38">
        <f>IF($A20="","",IF($P20="","No load selected",IF($AH20&lt;IFERROR($Z20/'Settings'!$B$11,0)+'Settings'!$B$12,"Too tight",IF($AH20&gt;'Settings'!$B$13,"Long wait","Feasible"))))</f>
        <v/>
      </c>
      <c r="AJ20" s="41">
        <f>IF($A20="","",IF($P20="","",$N20-$Z20-$AB20))</f>
        <v/>
      </c>
      <c r="AK20" s="38">
        <f>IF($A20="","",IF(COUNTIF($A$6:$A$205,$A20)&gt;1,"Duplicate Trip ID",IF($P20="","Open",IF(COUNTIF('Opportunities'!$A$6:$A$205,$P20)=0,"Load ID not found",IF(COUNTIFS('Opportunities'!$A$6:$A$205,$P20,'Opportunities'!$B$6:$B$205,$A20)=0,"Trip mismatch",IF(COUNTIF($P$6:$P$205,$P20)&gt;1,"Duplicate selection",IF(AND(OR($O20="Booked",$O20="Completed"),AND($Q20&lt;&gt;"Booked",$Q20&lt;&gt;"Completed")),"Status mismatch","OK")))))))</f>
        <v/>
      </c>
      <c r="AL20" s="46" t="n"/>
    </row>
    <row r="21">
      <c r="A21" s="34" t="n"/>
      <c r="B21" s="34" t="n"/>
      <c r="C21" s="34" t="n"/>
      <c r="D21" s="34" t="n"/>
      <c r="E21" s="34" t="n"/>
      <c r="F21" s="34" t="n"/>
      <c r="G21" s="34" t="n"/>
      <c r="H21" s="69" t="n"/>
      <c r="I21" s="36" t="n"/>
      <c r="J21" s="69" t="n"/>
      <c r="K21" s="36" t="n"/>
      <c r="L21" s="34" t="n"/>
      <c r="M21" s="34" t="n"/>
      <c r="N21" s="37" t="n"/>
      <c r="O21" s="34" t="n"/>
      <c r="P21" s="34" t="n"/>
      <c r="Q21" s="38">
        <f>IF($A21="","",IF($P21="","",IFERROR(INDEX('Opportunities'!$C$6:$C$205,MATCH($P21,'Opportunities'!$A$6:$A$205,0)),"")))</f>
        <v/>
      </c>
      <c r="R21" s="38">
        <f>IF($A21="","",IF($P21="","",IFERROR(INDEX('Opportunities'!$D$6:$D$205,MATCH($P21,'Opportunities'!$A$6:$A$205,0)),"")))</f>
        <v/>
      </c>
      <c r="S21" s="38">
        <f>IF($A21="","",IF($P21="","",IFERROR(INDEX('Opportunities'!$E$6:$E$205,MATCH($P21,'Opportunities'!$A$6:$A$205,0)),"")))</f>
        <v/>
      </c>
      <c r="T21" s="38">
        <f>IF($A21="","",IF($P21="","",IFERROR(INDEX('Opportunities'!$F$6:$F$205,MATCH($P21,'Opportunities'!$A$6:$A$205,0)),"")))</f>
        <v/>
      </c>
      <c r="U21" s="70">
        <f>IF($A21="","",IF($P21="","",IFERROR(INDEX('Opportunities'!$G$6:$G$205,MATCH($P21,'Opportunities'!$A$6:$A$205,0)),"")))</f>
        <v/>
      </c>
      <c r="V21" s="40">
        <f>IF($A21="","",IF($P21="","",IFERROR(INDEX('Opportunities'!$H$6:$H$205,MATCH($P21,'Opportunities'!$A$6:$A$205,0)),"")))</f>
        <v/>
      </c>
      <c r="W21" s="38">
        <f>IF($A21="","",IF($P21="","",IFERROR(INDEX('Opportunities'!$I$6:$I$205,MATCH($P21,'Opportunities'!$A$6:$A$205,0)),"")))</f>
        <v/>
      </c>
      <c r="X21" s="38">
        <f>IF($A21="","",IF($P21="","",IFERROR(INDEX('Opportunities'!$J$6:$J$205,MATCH($P21,'Opportunities'!$A$6:$A$205,0)),"")))</f>
        <v/>
      </c>
      <c r="Y21" s="70">
        <f>IF($A21="","",IF($P21="","",IFERROR(INDEX('Opportunities'!$K$6:$K$205,MATCH($P21,'Opportunities'!$A$6:$A$205,0)),"")))</f>
        <v/>
      </c>
      <c r="Z21" s="41">
        <f>IF($A21="","",IF($P21="","",IFERROR(INDEX('Opportunities'!$O$6:$O$205,MATCH($P21,'Opportunities'!$A$6:$A$205,0)),"")))</f>
        <v/>
      </c>
      <c r="AA21" s="41">
        <f>IF($A21="","",IF($P21="","",IFERROR(INDEX('Opportunities'!$P$6:$P$205,MATCH($P21,'Opportunities'!$A$6:$A$205,0)),"")))</f>
        <v/>
      </c>
      <c r="AB21" s="41">
        <f>IF($A21="","",IF($P21="","",IFERROR(INDEX('Opportunities'!$Q$6:$Q$205,MATCH($P21,'Opportunities'!$A$6:$A$205,0)),"")))</f>
        <v/>
      </c>
      <c r="AC21" s="71">
        <f>IF($A21="","",IF($P21="","",IFERROR(INDEX('Opportunities'!$Z$6:$Z$205,MATCH($P21,'Opportunities'!$A$6:$A$205,0)),"")))</f>
        <v/>
      </c>
      <c r="AD21" s="71">
        <f>IF($A21="","",IF($P21="","",IFERROR(INDEX('Opportunities'!$AJ$6:$AJ$205,MATCH($P21,'Opportunities'!$A$6:$A$205,0)),"")))</f>
        <v/>
      </c>
      <c r="AE21" s="72">
        <f>IF($A21="","",IF($P21="","",IFERROR(INDEX('Opportunities'!$AA$6:$AA$205,MATCH($P21,'Opportunities'!$A$6:$A$205,0)),"")))</f>
        <v/>
      </c>
      <c r="AF21" s="73">
        <f>IF($A21="","",IF($P21="","",IFERROR(INDEX('Opportunities'!$AF$6:$AF$205,MATCH($P21,'Opportunities'!$A$6:$A$205,0)),"")))</f>
        <v/>
      </c>
      <c r="AG21" s="41">
        <f>IF($A21="","",IF($P21="","",IFERROR(INDEX('Opportunities'!$AB$6:$AB$205,MATCH($P21,'Opportunities'!$A$6:$A$205,0)),"")))</f>
        <v/>
      </c>
      <c r="AH21" s="74">
        <f>IF($A21="","",IF($P21="","",IFERROR(($U21+$V21-$J21-$K21)*24,0)))</f>
        <v/>
      </c>
      <c r="AI21" s="38">
        <f>IF($A21="","",IF($P21="","No load selected",IF($AH21&lt;IFERROR($Z21/'Settings'!$B$11,0)+'Settings'!$B$12,"Too tight",IF($AH21&gt;'Settings'!$B$13,"Long wait","Feasible"))))</f>
        <v/>
      </c>
      <c r="AJ21" s="41">
        <f>IF($A21="","",IF($P21="","",$N21-$Z21-$AB21))</f>
        <v/>
      </c>
      <c r="AK21" s="38">
        <f>IF($A21="","",IF(COUNTIF($A$6:$A$205,$A21)&gt;1,"Duplicate Trip ID",IF($P21="","Open",IF(COUNTIF('Opportunities'!$A$6:$A$205,$P21)=0,"Load ID not found",IF(COUNTIFS('Opportunities'!$A$6:$A$205,$P21,'Opportunities'!$B$6:$B$205,$A21)=0,"Trip mismatch",IF(COUNTIF($P$6:$P$205,$P21)&gt;1,"Duplicate selection",IF(AND(OR($O21="Booked",$O21="Completed"),AND($Q21&lt;&gt;"Booked",$Q21&lt;&gt;"Completed")),"Status mismatch","OK")))))))</f>
        <v/>
      </c>
      <c r="AL21" s="46" t="n"/>
    </row>
    <row r="22">
      <c r="A22" s="34" t="n"/>
      <c r="B22" s="34" t="n"/>
      <c r="C22" s="34" t="n"/>
      <c r="D22" s="34" t="n"/>
      <c r="E22" s="34" t="n"/>
      <c r="F22" s="34" t="n"/>
      <c r="G22" s="34" t="n"/>
      <c r="H22" s="69" t="n"/>
      <c r="I22" s="36" t="n"/>
      <c r="J22" s="69" t="n"/>
      <c r="K22" s="36" t="n"/>
      <c r="L22" s="34" t="n"/>
      <c r="M22" s="34" t="n"/>
      <c r="N22" s="37" t="n"/>
      <c r="O22" s="34" t="n"/>
      <c r="P22" s="34" t="n"/>
      <c r="Q22" s="38">
        <f>IF($A22="","",IF($P22="","",IFERROR(INDEX('Opportunities'!$C$6:$C$205,MATCH($P22,'Opportunities'!$A$6:$A$205,0)),"")))</f>
        <v/>
      </c>
      <c r="R22" s="38">
        <f>IF($A22="","",IF($P22="","",IFERROR(INDEX('Opportunities'!$D$6:$D$205,MATCH($P22,'Opportunities'!$A$6:$A$205,0)),"")))</f>
        <v/>
      </c>
      <c r="S22" s="38">
        <f>IF($A22="","",IF($P22="","",IFERROR(INDEX('Opportunities'!$E$6:$E$205,MATCH($P22,'Opportunities'!$A$6:$A$205,0)),"")))</f>
        <v/>
      </c>
      <c r="T22" s="38">
        <f>IF($A22="","",IF($P22="","",IFERROR(INDEX('Opportunities'!$F$6:$F$205,MATCH($P22,'Opportunities'!$A$6:$A$205,0)),"")))</f>
        <v/>
      </c>
      <c r="U22" s="70">
        <f>IF($A22="","",IF($P22="","",IFERROR(INDEX('Opportunities'!$G$6:$G$205,MATCH($P22,'Opportunities'!$A$6:$A$205,0)),"")))</f>
        <v/>
      </c>
      <c r="V22" s="40">
        <f>IF($A22="","",IF($P22="","",IFERROR(INDEX('Opportunities'!$H$6:$H$205,MATCH($P22,'Opportunities'!$A$6:$A$205,0)),"")))</f>
        <v/>
      </c>
      <c r="W22" s="38">
        <f>IF($A22="","",IF($P22="","",IFERROR(INDEX('Opportunities'!$I$6:$I$205,MATCH($P22,'Opportunities'!$A$6:$A$205,0)),"")))</f>
        <v/>
      </c>
      <c r="X22" s="38">
        <f>IF($A22="","",IF($P22="","",IFERROR(INDEX('Opportunities'!$J$6:$J$205,MATCH($P22,'Opportunities'!$A$6:$A$205,0)),"")))</f>
        <v/>
      </c>
      <c r="Y22" s="70">
        <f>IF($A22="","",IF($P22="","",IFERROR(INDEX('Opportunities'!$K$6:$K$205,MATCH($P22,'Opportunities'!$A$6:$A$205,0)),"")))</f>
        <v/>
      </c>
      <c r="Z22" s="41">
        <f>IF($A22="","",IF($P22="","",IFERROR(INDEX('Opportunities'!$O$6:$O$205,MATCH($P22,'Opportunities'!$A$6:$A$205,0)),"")))</f>
        <v/>
      </c>
      <c r="AA22" s="41">
        <f>IF($A22="","",IF($P22="","",IFERROR(INDEX('Opportunities'!$P$6:$P$205,MATCH($P22,'Opportunities'!$A$6:$A$205,0)),"")))</f>
        <v/>
      </c>
      <c r="AB22" s="41">
        <f>IF($A22="","",IF($P22="","",IFERROR(INDEX('Opportunities'!$Q$6:$Q$205,MATCH($P22,'Opportunities'!$A$6:$A$205,0)),"")))</f>
        <v/>
      </c>
      <c r="AC22" s="71">
        <f>IF($A22="","",IF($P22="","",IFERROR(INDEX('Opportunities'!$Z$6:$Z$205,MATCH($P22,'Opportunities'!$A$6:$A$205,0)),"")))</f>
        <v/>
      </c>
      <c r="AD22" s="71">
        <f>IF($A22="","",IF($P22="","",IFERROR(INDEX('Opportunities'!$AJ$6:$AJ$205,MATCH($P22,'Opportunities'!$A$6:$A$205,0)),"")))</f>
        <v/>
      </c>
      <c r="AE22" s="72">
        <f>IF($A22="","",IF($P22="","",IFERROR(INDEX('Opportunities'!$AA$6:$AA$205,MATCH($P22,'Opportunities'!$A$6:$A$205,0)),"")))</f>
        <v/>
      </c>
      <c r="AF22" s="73">
        <f>IF($A22="","",IF($P22="","",IFERROR(INDEX('Opportunities'!$AF$6:$AF$205,MATCH($P22,'Opportunities'!$A$6:$A$205,0)),"")))</f>
        <v/>
      </c>
      <c r="AG22" s="41">
        <f>IF($A22="","",IF($P22="","",IFERROR(INDEX('Opportunities'!$AB$6:$AB$205,MATCH($P22,'Opportunities'!$A$6:$A$205,0)),"")))</f>
        <v/>
      </c>
      <c r="AH22" s="74">
        <f>IF($A22="","",IF($P22="","",IFERROR(($U22+$V22-$J22-$K22)*24,0)))</f>
        <v/>
      </c>
      <c r="AI22" s="38">
        <f>IF($A22="","",IF($P22="","No load selected",IF($AH22&lt;IFERROR($Z22/'Settings'!$B$11,0)+'Settings'!$B$12,"Too tight",IF($AH22&gt;'Settings'!$B$13,"Long wait","Feasible"))))</f>
        <v/>
      </c>
      <c r="AJ22" s="41">
        <f>IF($A22="","",IF($P22="","",$N22-$Z22-$AB22))</f>
        <v/>
      </c>
      <c r="AK22" s="38">
        <f>IF($A22="","",IF(COUNTIF($A$6:$A$205,$A22)&gt;1,"Duplicate Trip ID",IF($P22="","Open",IF(COUNTIF('Opportunities'!$A$6:$A$205,$P22)=0,"Load ID not found",IF(COUNTIFS('Opportunities'!$A$6:$A$205,$P22,'Opportunities'!$B$6:$B$205,$A22)=0,"Trip mismatch",IF(COUNTIF($P$6:$P$205,$P22)&gt;1,"Duplicate selection",IF(AND(OR($O22="Booked",$O22="Completed"),AND($Q22&lt;&gt;"Booked",$Q22&lt;&gt;"Completed")),"Status mismatch","OK")))))))</f>
        <v/>
      </c>
      <c r="AL22" s="46" t="n"/>
    </row>
    <row r="23">
      <c r="A23" s="34" t="n"/>
      <c r="B23" s="34" t="n"/>
      <c r="C23" s="34" t="n"/>
      <c r="D23" s="34" t="n"/>
      <c r="E23" s="34" t="n"/>
      <c r="F23" s="34" t="n"/>
      <c r="G23" s="34" t="n"/>
      <c r="H23" s="69" t="n"/>
      <c r="I23" s="36" t="n"/>
      <c r="J23" s="69" t="n"/>
      <c r="K23" s="36" t="n"/>
      <c r="L23" s="34" t="n"/>
      <c r="M23" s="34" t="n"/>
      <c r="N23" s="37" t="n"/>
      <c r="O23" s="34" t="n"/>
      <c r="P23" s="34" t="n"/>
      <c r="Q23" s="38">
        <f>IF($A23="","",IF($P23="","",IFERROR(INDEX('Opportunities'!$C$6:$C$205,MATCH($P23,'Opportunities'!$A$6:$A$205,0)),"")))</f>
        <v/>
      </c>
      <c r="R23" s="38">
        <f>IF($A23="","",IF($P23="","",IFERROR(INDEX('Opportunities'!$D$6:$D$205,MATCH($P23,'Opportunities'!$A$6:$A$205,0)),"")))</f>
        <v/>
      </c>
      <c r="S23" s="38">
        <f>IF($A23="","",IF($P23="","",IFERROR(INDEX('Opportunities'!$E$6:$E$205,MATCH($P23,'Opportunities'!$A$6:$A$205,0)),"")))</f>
        <v/>
      </c>
      <c r="T23" s="38">
        <f>IF($A23="","",IF($P23="","",IFERROR(INDEX('Opportunities'!$F$6:$F$205,MATCH($P23,'Opportunities'!$A$6:$A$205,0)),"")))</f>
        <v/>
      </c>
      <c r="U23" s="70">
        <f>IF($A23="","",IF($P23="","",IFERROR(INDEX('Opportunities'!$G$6:$G$205,MATCH($P23,'Opportunities'!$A$6:$A$205,0)),"")))</f>
        <v/>
      </c>
      <c r="V23" s="40">
        <f>IF($A23="","",IF($P23="","",IFERROR(INDEX('Opportunities'!$H$6:$H$205,MATCH($P23,'Opportunities'!$A$6:$A$205,0)),"")))</f>
        <v/>
      </c>
      <c r="W23" s="38">
        <f>IF($A23="","",IF($P23="","",IFERROR(INDEX('Opportunities'!$I$6:$I$205,MATCH($P23,'Opportunities'!$A$6:$A$205,0)),"")))</f>
        <v/>
      </c>
      <c r="X23" s="38">
        <f>IF($A23="","",IF($P23="","",IFERROR(INDEX('Opportunities'!$J$6:$J$205,MATCH($P23,'Opportunities'!$A$6:$A$205,0)),"")))</f>
        <v/>
      </c>
      <c r="Y23" s="70">
        <f>IF($A23="","",IF($P23="","",IFERROR(INDEX('Opportunities'!$K$6:$K$205,MATCH($P23,'Opportunities'!$A$6:$A$205,0)),"")))</f>
        <v/>
      </c>
      <c r="Z23" s="41">
        <f>IF($A23="","",IF($P23="","",IFERROR(INDEX('Opportunities'!$O$6:$O$205,MATCH($P23,'Opportunities'!$A$6:$A$205,0)),"")))</f>
        <v/>
      </c>
      <c r="AA23" s="41">
        <f>IF($A23="","",IF($P23="","",IFERROR(INDEX('Opportunities'!$P$6:$P$205,MATCH($P23,'Opportunities'!$A$6:$A$205,0)),"")))</f>
        <v/>
      </c>
      <c r="AB23" s="41">
        <f>IF($A23="","",IF($P23="","",IFERROR(INDEX('Opportunities'!$Q$6:$Q$205,MATCH($P23,'Opportunities'!$A$6:$A$205,0)),"")))</f>
        <v/>
      </c>
      <c r="AC23" s="71">
        <f>IF($A23="","",IF($P23="","",IFERROR(INDEX('Opportunities'!$Z$6:$Z$205,MATCH($P23,'Opportunities'!$A$6:$A$205,0)),"")))</f>
        <v/>
      </c>
      <c r="AD23" s="71">
        <f>IF($A23="","",IF($P23="","",IFERROR(INDEX('Opportunities'!$AJ$6:$AJ$205,MATCH($P23,'Opportunities'!$A$6:$A$205,0)),"")))</f>
        <v/>
      </c>
      <c r="AE23" s="72">
        <f>IF($A23="","",IF($P23="","",IFERROR(INDEX('Opportunities'!$AA$6:$AA$205,MATCH($P23,'Opportunities'!$A$6:$A$205,0)),"")))</f>
        <v/>
      </c>
      <c r="AF23" s="73">
        <f>IF($A23="","",IF($P23="","",IFERROR(INDEX('Opportunities'!$AF$6:$AF$205,MATCH($P23,'Opportunities'!$A$6:$A$205,0)),"")))</f>
        <v/>
      </c>
      <c r="AG23" s="41">
        <f>IF($A23="","",IF($P23="","",IFERROR(INDEX('Opportunities'!$AB$6:$AB$205,MATCH($P23,'Opportunities'!$A$6:$A$205,0)),"")))</f>
        <v/>
      </c>
      <c r="AH23" s="74">
        <f>IF($A23="","",IF($P23="","",IFERROR(($U23+$V23-$J23-$K23)*24,0)))</f>
        <v/>
      </c>
      <c r="AI23" s="38">
        <f>IF($A23="","",IF($P23="","No load selected",IF($AH23&lt;IFERROR($Z23/'Settings'!$B$11,0)+'Settings'!$B$12,"Too tight",IF($AH23&gt;'Settings'!$B$13,"Long wait","Feasible"))))</f>
        <v/>
      </c>
      <c r="AJ23" s="41">
        <f>IF($A23="","",IF($P23="","",$N23-$Z23-$AB23))</f>
        <v/>
      </c>
      <c r="AK23" s="38">
        <f>IF($A23="","",IF(COUNTIF($A$6:$A$205,$A23)&gt;1,"Duplicate Trip ID",IF($P23="","Open",IF(COUNTIF('Opportunities'!$A$6:$A$205,$P23)=0,"Load ID not found",IF(COUNTIFS('Opportunities'!$A$6:$A$205,$P23,'Opportunities'!$B$6:$B$205,$A23)=0,"Trip mismatch",IF(COUNTIF($P$6:$P$205,$P23)&gt;1,"Duplicate selection",IF(AND(OR($O23="Booked",$O23="Completed"),AND($Q23&lt;&gt;"Booked",$Q23&lt;&gt;"Completed")),"Status mismatch","OK")))))))</f>
        <v/>
      </c>
      <c r="AL23" s="46" t="n"/>
    </row>
    <row r="24">
      <c r="A24" s="34" t="n"/>
      <c r="B24" s="34" t="n"/>
      <c r="C24" s="34" t="n"/>
      <c r="D24" s="34" t="n"/>
      <c r="E24" s="34" t="n"/>
      <c r="F24" s="34" t="n"/>
      <c r="G24" s="34" t="n"/>
      <c r="H24" s="69" t="n"/>
      <c r="I24" s="36" t="n"/>
      <c r="J24" s="69" t="n"/>
      <c r="K24" s="36" t="n"/>
      <c r="L24" s="34" t="n"/>
      <c r="M24" s="34" t="n"/>
      <c r="N24" s="37" t="n"/>
      <c r="O24" s="34" t="n"/>
      <c r="P24" s="34" t="n"/>
      <c r="Q24" s="38">
        <f>IF($A24="","",IF($P24="","",IFERROR(INDEX('Opportunities'!$C$6:$C$205,MATCH($P24,'Opportunities'!$A$6:$A$205,0)),"")))</f>
        <v/>
      </c>
      <c r="R24" s="38">
        <f>IF($A24="","",IF($P24="","",IFERROR(INDEX('Opportunities'!$D$6:$D$205,MATCH($P24,'Opportunities'!$A$6:$A$205,0)),"")))</f>
        <v/>
      </c>
      <c r="S24" s="38">
        <f>IF($A24="","",IF($P24="","",IFERROR(INDEX('Opportunities'!$E$6:$E$205,MATCH($P24,'Opportunities'!$A$6:$A$205,0)),"")))</f>
        <v/>
      </c>
      <c r="T24" s="38">
        <f>IF($A24="","",IF($P24="","",IFERROR(INDEX('Opportunities'!$F$6:$F$205,MATCH($P24,'Opportunities'!$A$6:$A$205,0)),"")))</f>
        <v/>
      </c>
      <c r="U24" s="70">
        <f>IF($A24="","",IF($P24="","",IFERROR(INDEX('Opportunities'!$G$6:$G$205,MATCH($P24,'Opportunities'!$A$6:$A$205,0)),"")))</f>
        <v/>
      </c>
      <c r="V24" s="40">
        <f>IF($A24="","",IF($P24="","",IFERROR(INDEX('Opportunities'!$H$6:$H$205,MATCH($P24,'Opportunities'!$A$6:$A$205,0)),"")))</f>
        <v/>
      </c>
      <c r="W24" s="38">
        <f>IF($A24="","",IF($P24="","",IFERROR(INDEX('Opportunities'!$I$6:$I$205,MATCH($P24,'Opportunities'!$A$6:$A$205,0)),"")))</f>
        <v/>
      </c>
      <c r="X24" s="38">
        <f>IF($A24="","",IF($P24="","",IFERROR(INDEX('Opportunities'!$J$6:$J$205,MATCH($P24,'Opportunities'!$A$6:$A$205,0)),"")))</f>
        <v/>
      </c>
      <c r="Y24" s="70">
        <f>IF($A24="","",IF($P24="","",IFERROR(INDEX('Opportunities'!$K$6:$K$205,MATCH($P24,'Opportunities'!$A$6:$A$205,0)),"")))</f>
        <v/>
      </c>
      <c r="Z24" s="41">
        <f>IF($A24="","",IF($P24="","",IFERROR(INDEX('Opportunities'!$O$6:$O$205,MATCH($P24,'Opportunities'!$A$6:$A$205,0)),"")))</f>
        <v/>
      </c>
      <c r="AA24" s="41">
        <f>IF($A24="","",IF($P24="","",IFERROR(INDEX('Opportunities'!$P$6:$P$205,MATCH($P24,'Opportunities'!$A$6:$A$205,0)),"")))</f>
        <v/>
      </c>
      <c r="AB24" s="41">
        <f>IF($A24="","",IF($P24="","",IFERROR(INDEX('Opportunities'!$Q$6:$Q$205,MATCH($P24,'Opportunities'!$A$6:$A$205,0)),"")))</f>
        <v/>
      </c>
      <c r="AC24" s="71">
        <f>IF($A24="","",IF($P24="","",IFERROR(INDEX('Opportunities'!$Z$6:$Z$205,MATCH($P24,'Opportunities'!$A$6:$A$205,0)),"")))</f>
        <v/>
      </c>
      <c r="AD24" s="71">
        <f>IF($A24="","",IF($P24="","",IFERROR(INDEX('Opportunities'!$AJ$6:$AJ$205,MATCH($P24,'Opportunities'!$A$6:$A$205,0)),"")))</f>
        <v/>
      </c>
      <c r="AE24" s="72">
        <f>IF($A24="","",IF($P24="","",IFERROR(INDEX('Opportunities'!$AA$6:$AA$205,MATCH($P24,'Opportunities'!$A$6:$A$205,0)),"")))</f>
        <v/>
      </c>
      <c r="AF24" s="73">
        <f>IF($A24="","",IF($P24="","",IFERROR(INDEX('Opportunities'!$AF$6:$AF$205,MATCH($P24,'Opportunities'!$A$6:$A$205,0)),"")))</f>
        <v/>
      </c>
      <c r="AG24" s="41">
        <f>IF($A24="","",IF($P24="","",IFERROR(INDEX('Opportunities'!$AB$6:$AB$205,MATCH($P24,'Opportunities'!$A$6:$A$205,0)),"")))</f>
        <v/>
      </c>
      <c r="AH24" s="74">
        <f>IF($A24="","",IF($P24="","",IFERROR(($U24+$V24-$J24-$K24)*24,0)))</f>
        <v/>
      </c>
      <c r="AI24" s="38">
        <f>IF($A24="","",IF($P24="","No load selected",IF($AH24&lt;IFERROR($Z24/'Settings'!$B$11,0)+'Settings'!$B$12,"Too tight",IF($AH24&gt;'Settings'!$B$13,"Long wait","Feasible"))))</f>
        <v/>
      </c>
      <c r="AJ24" s="41">
        <f>IF($A24="","",IF($P24="","",$N24-$Z24-$AB24))</f>
        <v/>
      </c>
      <c r="AK24" s="38">
        <f>IF($A24="","",IF(COUNTIF($A$6:$A$205,$A24)&gt;1,"Duplicate Trip ID",IF($P24="","Open",IF(COUNTIF('Opportunities'!$A$6:$A$205,$P24)=0,"Load ID not found",IF(COUNTIFS('Opportunities'!$A$6:$A$205,$P24,'Opportunities'!$B$6:$B$205,$A24)=0,"Trip mismatch",IF(COUNTIF($P$6:$P$205,$P24)&gt;1,"Duplicate selection",IF(AND(OR($O24="Booked",$O24="Completed"),AND($Q24&lt;&gt;"Booked",$Q24&lt;&gt;"Completed")),"Status mismatch","OK")))))))</f>
        <v/>
      </c>
      <c r="AL24" s="46" t="n"/>
    </row>
    <row r="25">
      <c r="A25" s="34" t="n"/>
      <c r="B25" s="34" t="n"/>
      <c r="C25" s="34" t="n"/>
      <c r="D25" s="34" t="n"/>
      <c r="E25" s="34" t="n"/>
      <c r="F25" s="34" t="n"/>
      <c r="G25" s="34" t="n"/>
      <c r="H25" s="69" t="n"/>
      <c r="I25" s="36" t="n"/>
      <c r="J25" s="69" t="n"/>
      <c r="K25" s="36" t="n"/>
      <c r="L25" s="34" t="n"/>
      <c r="M25" s="34" t="n"/>
      <c r="N25" s="37" t="n"/>
      <c r="O25" s="34" t="n"/>
      <c r="P25" s="34" t="n"/>
      <c r="Q25" s="38">
        <f>IF($A25="","",IF($P25="","",IFERROR(INDEX('Opportunities'!$C$6:$C$205,MATCH($P25,'Opportunities'!$A$6:$A$205,0)),"")))</f>
        <v/>
      </c>
      <c r="R25" s="38">
        <f>IF($A25="","",IF($P25="","",IFERROR(INDEX('Opportunities'!$D$6:$D$205,MATCH($P25,'Opportunities'!$A$6:$A$205,0)),"")))</f>
        <v/>
      </c>
      <c r="S25" s="38">
        <f>IF($A25="","",IF($P25="","",IFERROR(INDEX('Opportunities'!$E$6:$E$205,MATCH($P25,'Opportunities'!$A$6:$A$205,0)),"")))</f>
        <v/>
      </c>
      <c r="T25" s="38">
        <f>IF($A25="","",IF($P25="","",IFERROR(INDEX('Opportunities'!$F$6:$F$205,MATCH($P25,'Opportunities'!$A$6:$A$205,0)),"")))</f>
        <v/>
      </c>
      <c r="U25" s="70">
        <f>IF($A25="","",IF($P25="","",IFERROR(INDEX('Opportunities'!$G$6:$G$205,MATCH($P25,'Opportunities'!$A$6:$A$205,0)),"")))</f>
        <v/>
      </c>
      <c r="V25" s="40">
        <f>IF($A25="","",IF($P25="","",IFERROR(INDEX('Opportunities'!$H$6:$H$205,MATCH($P25,'Opportunities'!$A$6:$A$205,0)),"")))</f>
        <v/>
      </c>
      <c r="W25" s="38">
        <f>IF($A25="","",IF($P25="","",IFERROR(INDEX('Opportunities'!$I$6:$I$205,MATCH($P25,'Opportunities'!$A$6:$A$205,0)),"")))</f>
        <v/>
      </c>
      <c r="X25" s="38">
        <f>IF($A25="","",IF($P25="","",IFERROR(INDEX('Opportunities'!$J$6:$J$205,MATCH($P25,'Opportunities'!$A$6:$A$205,0)),"")))</f>
        <v/>
      </c>
      <c r="Y25" s="70">
        <f>IF($A25="","",IF($P25="","",IFERROR(INDEX('Opportunities'!$K$6:$K$205,MATCH($P25,'Opportunities'!$A$6:$A$205,0)),"")))</f>
        <v/>
      </c>
      <c r="Z25" s="41">
        <f>IF($A25="","",IF($P25="","",IFERROR(INDEX('Opportunities'!$O$6:$O$205,MATCH($P25,'Opportunities'!$A$6:$A$205,0)),"")))</f>
        <v/>
      </c>
      <c r="AA25" s="41">
        <f>IF($A25="","",IF($P25="","",IFERROR(INDEX('Opportunities'!$P$6:$P$205,MATCH($P25,'Opportunities'!$A$6:$A$205,0)),"")))</f>
        <v/>
      </c>
      <c r="AB25" s="41">
        <f>IF($A25="","",IF($P25="","",IFERROR(INDEX('Opportunities'!$Q$6:$Q$205,MATCH($P25,'Opportunities'!$A$6:$A$205,0)),"")))</f>
        <v/>
      </c>
      <c r="AC25" s="71">
        <f>IF($A25="","",IF($P25="","",IFERROR(INDEX('Opportunities'!$Z$6:$Z$205,MATCH($P25,'Opportunities'!$A$6:$A$205,0)),"")))</f>
        <v/>
      </c>
      <c r="AD25" s="71">
        <f>IF($A25="","",IF($P25="","",IFERROR(INDEX('Opportunities'!$AJ$6:$AJ$205,MATCH($P25,'Opportunities'!$A$6:$A$205,0)),"")))</f>
        <v/>
      </c>
      <c r="AE25" s="72">
        <f>IF($A25="","",IF($P25="","",IFERROR(INDEX('Opportunities'!$AA$6:$AA$205,MATCH($P25,'Opportunities'!$A$6:$A$205,0)),"")))</f>
        <v/>
      </c>
      <c r="AF25" s="73">
        <f>IF($A25="","",IF($P25="","",IFERROR(INDEX('Opportunities'!$AF$6:$AF$205,MATCH($P25,'Opportunities'!$A$6:$A$205,0)),"")))</f>
        <v/>
      </c>
      <c r="AG25" s="41">
        <f>IF($A25="","",IF($P25="","",IFERROR(INDEX('Opportunities'!$AB$6:$AB$205,MATCH($P25,'Opportunities'!$A$6:$A$205,0)),"")))</f>
        <v/>
      </c>
      <c r="AH25" s="74">
        <f>IF($A25="","",IF($P25="","",IFERROR(($U25+$V25-$J25-$K25)*24,0)))</f>
        <v/>
      </c>
      <c r="AI25" s="38">
        <f>IF($A25="","",IF($P25="","No load selected",IF($AH25&lt;IFERROR($Z25/'Settings'!$B$11,0)+'Settings'!$B$12,"Too tight",IF($AH25&gt;'Settings'!$B$13,"Long wait","Feasible"))))</f>
        <v/>
      </c>
      <c r="AJ25" s="41">
        <f>IF($A25="","",IF($P25="","",$N25-$Z25-$AB25))</f>
        <v/>
      </c>
      <c r="AK25" s="38">
        <f>IF($A25="","",IF(COUNTIF($A$6:$A$205,$A25)&gt;1,"Duplicate Trip ID",IF($P25="","Open",IF(COUNTIF('Opportunities'!$A$6:$A$205,$P25)=0,"Load ID not found",IF(COUNTIFS('Opportunities'!$A$6:$A$205,$P25,'Opportunities'!$B$6:$B$205,$A25)=0,"Trip mismatch",IF(COUNTIF($P$6:$P$205,$P25)&gt;1,"Duplicate selection",IF(AND(OR($O25="Booked",$O25="Completed"),AND($Q25&lt;&gt;"Booked",$Q25&lt;&gt;"Completed")),"Status mismatch","OK")))))))</f>
        <v/>
      </c>
      <c r="AL25" s="46" t="n"/>
    </row>
    <row r="26">
      <c r="A26" s="34" t="n"/>
      <c r="B26" s="34" t="n"/>
      <c r="C26" s="34" t="n"/>
      <c r="D26" s="34" t="n"/>
      <c r="E26" s="34" t="n"/>
      <c r="F26" s="34" t="n"/>
      <c r="G26" s="34" t="n"/>
      <c r="H26" s="69" t="n"/>
      <c r="I26" s="36" t="n"/>
      <c r="J26" s="69" t="n"/>
      <c r="K26" s="36" t="n"/>
      <c r="L26" s="34" t="n"/>
      <c r="M26" s="34" t="n"/>
      <c r="N26" s="37" t="n"/>
      <c r="O26" s="34" t="n"/>
      <c r="P26" s="34" t="n"/>
      <c r="Q26" s="38">
        <f>IF($A26="","",IF($P26="","",IFERROR(INDEX('Opportunities'!$C$6:$C$205,MATCH($P26,'Opportunities'!$A$6:$A$205,0)),"")))</f>
        <v/>
      </c>
      <c r="R26" s="38">
        <f>IF($A26="","",IF($P26="","",IFERROR(INDEX('Opportunities'!$D$6:$D$205,MATCH($P26,'Opportunities'!$A$6:$A$205,0)),"")))</f>
        <v/>
      </c>
      <c r="S26" s="38">
        <f>IF($A26="","",IF($P26="","",IFERROR(INDEX('Opportunities'!$E$6:$E$205,MATCH($P26,'Opportunities'!$A$6:$A$205,0)),"")))</f>
        <v/>
      </c>
      <c r="T26" s="38">
        <f>IF($A26="","",IF($P26="","",IFERROR(INDEX('Opportunities'!$F$6:$F$205,MATCH($P26,'Opportunities'!$A$6:$A$205,0)),"")))</f>
        <v/>
      </c>
      <c r="U26" s="70">
        <f>IF($A26="","",IF($P26="","",IFERROR(INDEX('Opportunities'!$G$6:$G$205,MATCH($P26,'Opportunities'!$A$6:$A$205,0)),"")))</f>
        <v/>
      </c>
      <c r="V26" s="40">
        <f>IF($A26="","",IF($P26="","",IFERROR(INDEX('Opportunities'!$H$6:$H$205,MATCH($P26,'Opportunities'!$A$6:$A$205,0)),"")))</f>
        <v/>
      </c>
      <c r="W26" s="38">
        <f>IF($A26="","",IF($P26="","",IFERROR(INDEX('Opportunities'!$I$6:$I$205,MATCH($P26,'Opportunities'!$A$6:$A$205,0)),"")))</f>
        <v/>
      </c>
      <c r="X26" s="38">
        <f>IF($A26="","",IF($P26="","",IFERROR(INDEX('Opportunities'!$J$6:$J$205,MATCH($P26,'Opportunities'!$A$6:$A$205,0)),"")))</f>
        <v/>
      </c>
      <c r="Y26" s="70">
        <f>IF($A26="","",IF($P26="","",IFERROR(INDEX('Opportunities'!$K$6:$K$205,MATCH($P26,'Opportunities'!$A$6:$A$205,0)),"")))</f>
        <v/>
      </c>
      <c r="Z26" s="41">
        <f>IF($A26="","",IF($P26="","",IFERROR(INDEX('Opportunities'!$O$6:$O$205,MATCH($P26,'Opportunities'!$A$6:$A$205,0)),"")))</f>
        <v/>
      </c>
      <c r="AA26" s="41">
        <f>IF($A26="","",IF($P26="","",IFERROR(INDEX('Opportunities'!$P$6:$P$205,MATCH($P26,'Opportunities'!$A$6:$A$205,0)),"")))</f>
        <v/>
      </c>
      <c r="AB26" s="41">
        <f>IF($A26="","",IF($P26="","",IFERROR(INDEX('Opportunities'!$Q$6:$Q$205,MATCH($P26,'Opportunities'!$A$6:$A$205,0)),"")))</f>
        <v/>
      </c>
      <c r="AC26" s="71">
        <f>IF($A26="","",IF($P26="","",IFERROR(INDEX('Opportunities'!$Z$6:$Z$205,MATCH($P26,'Opportunities'!$A$6:$A$205,0)),"")))</f>
        <v/>
      </c>
      <c r="AD26" s="71">
        <f>IF($A26="","",IF($P26="","",IFERROR(INDEX('Opportunities'!$AJ$6:$AJ$205,MATCH($P26,'Opportunities'!$A$6:$A$205,0)),"")))</f>
        <v/>
      </c>
      <c r="AE26" s="72">
        <f>IF($A26="","",IF($P26="","",IFERROR(INDEX('Opportunities'!$AA$6:$AA$205,MATCH($P26,'Opportunities'!$A$6:$A$205,0)),"")))</f>
        <v/>
      </c>
      <c r="AF26" s="73">
        <f>IF($A26="","",IF($P26="","",IFERROR(INDEX('Opportunities'!$AF$6:$AF$205,MATCH($P26,'Opportunities'!$A$6:$A$205,0)),"")))</f>
        <v/>
      </c>
      <c r="AG26" s="41">
        <f>IF($A26="","",IF($P26="","",IFERROR(INDEX('Opportunities'!$AB$6:$AB$205,MATCH($P26,'Opportunities'!$A$6:$A$205,0)),"")))</f>
        <v/>
      </c>
      <c r="AH26" s="74">
        <f>IF($A26="","",IF($P26="","",IFERROR(($U26+$V26-$J26-$K26)*24,0)))</f>
        <v/>
      </c>
      <c r="AI26" s="38">
        <f>IF($A26="","",IF($P26="","No load selected",IF($AH26&lt;IFERROR($Z26/'Settings'!$B$11,0)+'Settings'!$B$12,"Too tight",IF($AH26&gt;'Settings'!$B$13,"Long wait","Feasible"))))</f>
        <v/>
      </c>
      <c r="AJ26" s="41">
        <f>IF($A26="","",IF($P26="","",$N26-$Z26-$AB26))</f>
        <v/>
      </c>
      <c r="AK26" s="38">
        <f>IF($A26="","",IF(COUNTIF($A$6:$A$205,$A26)&gt;1,"Duplicate Trip ID",IF($P26="","Open",IF(COUNTIF('Opportunities'!$A$6:$A$205,$P26)=0,"Load ID not found",IF(COUNTIFS('Opportunities'!$A$6:$A$205,$P26,'Opportunities'!$B$6:$B$205,$A26)=0,"Trip mismatch",IF(COUNTIF($P$6:$P$205,$P26)&gt;1,"Duplicate selection",IF(AND(OR($O26="Booked",$O26="Completed"),AND($Q26&lt;&gt;"Booked",$Q26&lt;&gt;"Completed")),"Status mismatch","OK")))))))</f>
        <v/>
      </c>
      <c r="AL26" s="46" t="n"/>
    </row>
    <row r="27">
      <c r="A27" s="34" t="n"/>
      <c r="B27" s="34" t="n"/>
      <c r="C27" s="34" t="n"/>
      <c r="D27" s="34" t="n"/>
      <c r="E27" s="34" t="n"/>
      <c r="F27" s="34" t="n"/>
      <c r="G27" s="34" t="n"/>
      <c r="H27" s="69" t="n"/>
      <c r="I27" s="36" t="n"/>
      <c r="J27" s="69" t="n"/>
      <c r="K27" s="36" t="n"/>
      <c r="L27" s="34" t="n"/>
      <c r="M27" s="34" t="n"/>
      <c r="N27" s="37" t="n"/>
      <c r="O27" s="34" t="n"/>
      <c r="P27" s="34" t="n"/>
      <c r="Q27" s="38">
        <f>IF($A27="","",IF($P27="","",IFERROR(INDEX('Opportunities'!$C$6:$C$205,MATCH($P27,'Opportunities'!$A$6:$A$205,0)),"")))</f>
        <v/>
      </c>
      <c r="R27" s="38">
        <f>IF($A27="","",IF($P27="","",IFERROR(INDEX('Opportunities'!$D$6:$D$205,MATCH($P27,'Opportunities'!$A$6:$A$205,0)),"")))</f>
        <v/>
      </c>
      <c r="S27" s="38">
        <f>IF($A27="","",IF($P27="","",IFERROR(INDEX('Opportunities'!$E$6:$E$205,MATCH($P27,'Opportunities'!$A$6:$A$205,0)),"")))</f>
        <v/>
      </c>
      <c r="T27" s="38">
        <f>IF($A27="","",IF($P27="","",IFERROR(INDEX('Opportunities'!$F$6:$F$205,MATCH($P27,'Opportunities'!$A$6:$A$205,0)),"")))</f>
        <v/>
      </c>
      <c r="U27" s="70">
        <f>IF($A27="","",IF($P27="","",IFERROR(INDEX('Opportunities'!$G$6:$G$205,MATCH($P27,'Opportunities'!$A$6:$A$205,0)),"")))</f>
        <v/>
      </c>
      <c r="V27" s="40">
        <f>IF($A27="","",IF($P27="","",IFERROR(INDEX('Opportunities'!$H$6:$H$205,MATCH($P27,'Opportunities'!$A$6:$A$205,0)),"")))</f>
        <v/>
      </c>
      <c r="W27" s="38">
        <f>IF($A27="","",IF($P27="","",IFERROR(INDEX('Opportunities'!$I$6:$I$205,MATCH($P27,'Opportunities'!$A$6:$A$205,0)),"")))</f>
        <v/>
      </c>
      <c r="X27" s="38">
        <f>IF($A27="","",IF($P27="","",IFERROR(INDEX('Opportunities'!$J$6:$J$205,MATCH($P27,'Opportunities'!$A$6:$A$205,0)),"")))</f>
        <v/>
      </c>
      <c r="Y27" s="70">
        <f>IF($A27="","",IF($P27="","",IFERROR(INDEX('Opportunities'!$K$6:$K$205,MATCH($P27,'Opportunities'!$A$6:$A$205,0)),"")))</f>
        <v/>
      </c>
      <c r="Z27" s="41">
        <f>IF($A27="","",IF($P27="","",IFERROR(INDEX('Opportunities'!$O$6:$O$205,MATCH($P27,'Opportunities'!$A$6:$A$205,0)),"")))</f>
        <v/>
      </c>
      <c r="AA27" s="41">
        <f>IF($A27="","",IF($P27="","",IFERROR(INDEX('Opportunities'!$P$6:$P$205,MATCH($P27,'Opportunities'!$A$6:$A$205,0)),"")))</f>
        <v/>
      </c>
      <c r="AB27" s="41">
        <f>IF($A27="","",IF($P27="","",IFERROR(INDEX('Opportunities'!$Q$6:$Q$205,MATCH($P27,'Opportunities'!$A$6:$A$205,0)),"")))</f>
        <v/>
      </c>
      <c r="AC27" s="71">
        <f>IF($A27="","",IF($P27="","",IFERROR(INDEX('Opportunities'!$Z$6:$Z$205,MATCH($P27,'Opportunities'!$A$6:$A$205,0)),"")))</f>
        <v/>
      </c>
      <c r="AD27" s="71">
        <f>IF($A27="","",IF($P27="","",IFERROR(INDEX('Opportunities'!$AJ$6:$AJ$205,MATCH($P27,'Opportunities'!$A$6:$A$205,0)),"")))</f>
        <v/>
      </c>
      <c r="AE27" s="72">
        <f>IF($A27="","",IF($P27="","",IFERROR(INDEX('Opportunities'!$AA$6:$AA$205,MATCH($P27,'Opportunities'!$A$6:$A$205,0)),"")))</f>
        <v/>
      </c>
      <c r="AF27" s="73">
        <f>IF($A27="","",IF($P27="","",IFERROR(INDEX('Opportunities'!$AF$6:$AF$205,MATCH($P27,'Opportunities'!$A$6:$A$205,0)),"")))</f>
        <v/>
      </c>
      <c r="AG27" s="41">
        <f>IF($A27="","",IF($P27="","",IFERROR(INDEX('Opportunities'!$AB$6:$AB$205,MATCH($P27,'Opportunities'!$A$6:$A$205,0)),"")))</f>
        <v/>
      </c>
      <c r="AH27" s="74">
        <f>IF($A27="","",IF($P27="","",IFERROR(($U27+$V27-$J27-$K27)*24,0)))</f>
        <v/>
      </c>
      <c r="AI27" s="38">
        <f>IF($A27="","",IF($P27="","No load selected",IF($AH27&lt;IFERROR($Z27/'Settings'!$B$11,0)+'Settings'!$B$12,"Too tight",IF($AH27&gt;'Settings'!$B$13,"Long wait","Feasible"))))</f>
        <v/>
      </c>
      <c r="AJ27" s="41">
        <f>IF($A27="","",IF($P27="","",$N27-$Z27-$AB27))</f>
        <v/>
      </c>
      <c r="AK27" s="38">
        <f>IF($A27="","",IF(COUNTIF($A$6:$A$205,$A27)&gt;1,"Duplicate Trip ID",IF($P27="","Open",IF(COUNTIF('Opportunities'!$A$6:$A$205,$P27)=0,"Load ID not found",IF(COUNTIFS('Opportunities'!$A$6:$A$205,$P27,'Opportunities'!$B$6:$B$205,$A27)=0,"Trip mismatch",IF(COUNTIF($P$6:$P$205,$P27)&gt;1,"Duplicate selection",IF(AND(OR($O27="Booked",$O27="Completed"),AND($Q27&lt;&gt;"Booked",$Q27&lt;&gt;"Completed")),"Status mismatch","OK")))))))</f>
        <v/>
      </c>
      <c r="AL27" s="46" t="n"/>
    </row>
    <row r="28">
      <c r="A28" s="34" t="n"/>
      <c r="B28" s="34" t="n"/>
      <c r="C28" s="34" t="n"/>
      <c r="D28" s="34" t="n"/>
      <c r="E28" s="34" t="n"/>
      <c r="F28" s="34" t="n"/>
      <c r="G28" s="34" t="n"/>
      <c r="H28" s="69" t="n"/>
      <c r="I28" s="36" t="n"/>
      <c r="J28" s="69" t="n"/>
      <c r="K28" s="36" t="n"/>
      <c r="L28" s="34" t="n"/>
      <c r="M28" s="34" t="n"/>
      <c r="N28" s="37" t="n"/>
      <c r="O28" s="34" t="n"/>
      <c r="P28" s="34" t="n"/>
      <c r="Q28" s="38">
        <f>IF($A28="","",IF($P28="","",IFERROR(INDEX('Opportunities'!$C$6:$C$205,MATCH($P28,'Opportunities'!$A$6:$A$205,0)),"")))</f>
        <v/>
      </c>
      <c r="R28" s="38">
        <f>IF($A28="","",IF($P28="","",IFERROR(INDEX('Opportunities'!$D$6:$D$205,MATCH($P28,'Opportunities'!$A$6:$A$205,0)),"")))</f>
        <v/>
      </c>
      <c r="S28" s="38">
        <f>IF($A28="","",IF($P28="","",IFERROR(INDEX('Opportunities'!$E$6:$E$205,MATCH($P28,'Opportunities'!$A$6:$A$205,0)),"")))</f>
        <v/>
      </c>
      <c r="T28" s="38">
        <f>IF($A28="","",IF($P28="","",IFERROR(INDEX('Opportunities'!$F$6:$F$205,MATCH($P28,'Opportunities'!$A$6:$A$205,0)),"")))</f>
        <v/>
      </c>
      <c r="U28" s="70">
        <f>IF($A28="","",IF($P28="","",IFERROR(INDEX('Opportunities'!$G$6:$G$205,MATCH($P28,'Opportunities'!$A$6:$A$205,0)),"")))</f>
        <v/>
      </c>
      <c r="V28" s="40">
        <f>IF($A28="","",IF($P28="","",IFERROR(INDEX('Opportunities'!$H$6:$H$205,MATCH($P28,'Opportunities'!$A$6:$A$205,0)),"")))</f>
        <v/>
      </c>
      <c r="W28" s="38">
        <f>IF($A28="","",IF($P28="","",IFERROR(INDEX('Opportunities'!$I$6:$I$205,MATCH($P28,'Opportunities'!$A$6:$A$205,0)),"")))</f>
        <v/>
      </c>
      <c r="X28" s="38">
        <f>IF($A28="","",IF($P28="","",IFERROR(INDEX('Opportunities'!$J$6:$J$205,MATCH($P28,'Opportunities'!$A$6:$A$205,0)),"")))</f>
        <v/>
      </c>
      <c r="Y28" s="70">
        <f>IF($A28="","",IF($P28="","",IFERROR(INDEX('Opportunities'!$K$6:$K$205,MATCH($P28,'Opportunities'!$A$6:$A$205,0)),"")))</f>
        <v/>
      </c>
      <c r="Z28" s="41">
        <f>IF($A28="","",IF($P28="","",IFERROR(INDEX('Opportunities'!$O$6:$O$205,MATCH($P28,'Opportunities'!$A$6:$A$205,0)),"")))</f>
        <v/>
      </c>
      <c r="AA28" s="41">
        <f>IF($A28="","",IF($P28="","",IFERROR(INDEX('Opportunities'!$P$6:$P$205,MATCH($P28,'Opportunities'!$A$6:$A$205,0)),"")))</f>
        <v/>
      </c>
      <c r="AB28" s="41">
        <f>IF($A28="","",IF($P28="","",IFERROR(INDEX('Opportunities'!$Q$6:$Q$205,MATCH($P28,'Opportunities'!$A$6:$A$205,0)),"")))</f>
        <v/>
      </c>
      <c r="AC28" s="71">
        <f>IF($A28="","",IF($P28="","",IFERROR(INDEX('Opportunities'!$Z$6:$Z$205,MATCH($P28,'Opportunities'!$A$6:$A$205,0)),"")))</f>
        <v/>
      </c>
      <c r="AD28" s="71">
        <f>IF($A28="","",IF($P28="","",IFERROR(INDEX('Opportunities'!$AJ$6:$AJ$205,MATCH($P28,'Opportunities'!$A$6:$A$205,0)),"")))</f>
        <v/>
      </c>
      <c r="AE28" s="72">
        <f>IF($A28="","",IF($P28="","",IFERROR(INDEX('Opportunities'!$AA$6:$AA$205,MATCH($P28,'Opportunities'!$A$6:$A$205,0)),"")))</f>
        <v/>
      </c>
      <c r="AF28" s="73">
        <f>IF($A28="","",IF($P28="","",IFERROR(INDEX('Opportunities'!$AF$6:$AF$205,MATCH($P28,'Opportunities'!$A$6:$A$205,0)),"")))</f>
        <v/>
      </c>
      <c r="AG28" s="41">
        <f>IF($A28="","",IF($P28="","",IFERROR(INDEX('Opportunities'!$AB$6:$AB$205,MATCH($P28,'Opportunities'!$A$6:$A$205,0)),"")))</f>
        <v/>
      </c>
      <c r="AH28" s="74">
        <f>IF($A28="","",IF($P28="","",IFERROR(($U28+$V28-$J28-$K28)*24,0)))</f>
        <v/>
      </c>
      <c r="AI28" s="38">
        <f>IF($A28="","",IF($P28="","No load selected",IF($AH28&lt;IFERROR($Z28/'Settings'!$B$11,0)+'Settings'!$B$12,"Too tight",IF($AH28&gt;'Settings'!$B$13,"Long wait","Feasible"))))</f>
        <v/>
      </c>
      <c r="AJ28" s="41">
        <f>IF($A28="","",IF($P28="","",$N28-$Z28-$AB28))</f>
        <v/>
      </c>
      <c r="AK28" s="38">
        <f>IF($A28="","",IF(COUNTIF($A$6:$A$205,$A28)&gt;1,"Duplicate Trip ID",IF($P28="","Open",IF(COUNTIF('Opportunities'!$A$6:$A$205,$P28)=0,"Load ID not found",IF(COUNTIFS('Opportunities'!$A$6:$A$205,$P28,'Opportunities'!$B$6:$B$205,$A28)=0,"Trip mismatch",IF(COUNTIF($P$6:$P$205,$P28)&gt;1,"Duplicate selection",IF(AND(OR($O28="Booked",$O28="Completed"),AND($Q28&lt;&gt;"Booked",$Q28&lt;&gt;"Completed")),"Status mismatch","OK")))))))</f>
        <v/>
      </c>
      <c r="AL28" s="46" t="n"/>
    </row>
    <row r="29">
      <c r="A29" s="34" t="n"/>
      <c r="B29" s="34" t="n"/>
      <c r="C29" s="34" t="n"/>
      <c r="D29" s="34" t="n"/>
      <c r="E29" s="34" t="n"/>
      <c r="F29" s="34" t="n"/>
      <c r="G29" s="34" t="n"/>
      <c r="H29" s="69" t="n"/>
      <c r="I29" s="36" t="n"/>
      <c r="J29" s="69" t="n"/>
      <c r="K29" s="36" t="n"/>
      <c r="L29" s="34" t="n"/>
      <c r="M29" s="34" t="n"/>
      <c r="N29" s="37" t="n"/>
      <c r="O29" s="34" t="n"/>
      <c r="P29" s="34" t="n"/>
      <c r="Q29" s="38">
        <f>IF($A29="","",IF($P29="","",IFERROR(INDEX('Opportunities'!$C$6:$C$205,MATCH($P29,'Opportunities'!$A$6:$A$205,0)),"")))</f>
        <v/>
      </c>
      <c r="R29" s="38">
        <f>IF($A29="","",IF($P29="","",IFERROR(INDEX('Opportunities'!$D$6:$D$205,MATCH($P29,'Opportunities'!$A$6:$A$205,0)),"")))</f>
        <v/>
      </c>
      <c r="S29" s="38">
        <f>IF($A29="","",IF($P29="","",IFERROR(INDEX('Opportunities'!$E$6:$E$205,MATCH($P29,'Opportunities'!$A$6:$A$205,0)),"")))</f>
        <v/>
      </c>
      <c r="T29" s="38">
        <f>IF($A29="","",IF($P29="","",IFERROR(INDEX('Opportunities'!$F$6:$F$205,MATCH($P29,'Opportunities'!$A$6:$A$205,0)),"")))</f>
        <v/>
      </c>
      <c r="U29" s="70">
        <f>IF($A29="","",IF($P29="","",IFERROR(INDEX('Opportunities'!$G$6:$G$205,MATCH($P29,'Opportunities'!$A$6:$A$205,0)),"")))</f>
        <v/>
      </c>
      <c r="V29" s="40">
        <f>IF($A29="","",IF($P29="","",IFERROR(INDEX('Opportunities'!$H$6:$H$205,MATCH($P29,'Opportunities'!$A$6:$A$205,0)),"")))</f>
        <v/>
      </c>
      <c r="W29" s="38">
        <f>IF($A29="","",IF($P29="","",IFERROR(INDEX('Opportunities'!$I$6:$I$205,MATCH($P29,'Opportunities'!$A$6:$A$205,0)),"")))</f>
        <v/>
      </c>
      <c r="X29" s="38">
        <f>IF($A29="","",IF($P29="","",IFERROR(INDEX('Opportunities'!$J$6:$J$205,MATCH($P29,'Opportunities'!$A$6:$A$205,0)),"")))</f>
        <v/>
      </c>
      <c r="Y29" s="70">
        <f>IF($A29="","",IF($P29="","",IFERROR(INDEX('Opportunities'!$K$6:$K$205,MATCH($P29,'Opportunities'!$A$6:$A$205,0)),"")))</f>
        <v/>
      </c>
      <c r="Z29" s="41">
        <f>IF($A29="","",IF($P29="","",IFERROR(INDEX('Opportunities'!$O$6:$O$205,MATCH($P29,'Opportunities'!$A$6:$A$205,0)),"")))</f>
        <v/>
      </c>
      <c r="AA29" s="41">
        <f>IF($A29="","",IF($P29="","",IFERROR(INDEX('Opportunities'!$P$6:$P$205,MATCH($P29,'Opportunities'!$A$6:$A$205,0)),"")))</f>
        <v/>
      </c>
      <c r="AB29" s="41">
        <f>IF($A29="","",IF($P29="","",IFERROR(INDEX('Opportunities'!$Q$6:$Q$205,MATCH($P29,'Opportunities'!$A$6:$A$205,0)),"")))</f>
        <v/>
      </c>
      <c r="AC29" s="71">
        <f>IF($A29="","",IF($P29="","",IFERROR(INDEX('Opportunities'!$Z$6:$Z$205,MATCH($P29,'Opportunities'!$A$6:$A$205,0)),"")))</f>
        <v/>
      </c>
      <c r="AD29" s="71">
        <f>IF($A29="","",IF($P29="","",IFERROR(INDEX('Opportunities'!$AJ$6:$AJ$205,MATCH($P29,'Opportunities'!$A$6:$A$205,0)),"")))</f>
        <v/>
      </c>
      <c r="AE29" s="72">
        <f>IF($A29="","",IF($P29="","",IFERROR(INDEX('Opportunities'!$AA$6:$AA$205,MATCH($P29,'Opportunities'!$A$6:$A$205,0)),"")))</f>
        <v/>
      </c>
      <c r="AF29" s="73">
        <f>IF($A29="","",IF($P29="","",IFERROR(INDEX('Opportunities'!$AF$6:$AF$205,MATCH($P29,'Opportunities'!$A$6:$A$205,0)),"")))</f>
        <v/>
      </c>
      <c r="AG29" s="41">
        <f>IF($A29="","",IF($P29="","",IFERROR(INDEX('Opportunities'!$AB$6:$AB$205,MATCH($P29,'Opportunities'!$A$6:$A$205,0)),"")))</f>
        <v/>
      </c>
      <c r="AH29" s="74">
        <f>IF($A29="","",IF($P29="","",IFERROR(($U29+$V29-$J29-$K29)*24,0)))</f>
        <v/>
      </c>
      <c r="AI29" s="38">
        <f>IF($A29="","",IF($P29="","No load selected",IF($AH29&lt;IFERROR($Z29/'Settings'!$B$11,0)+'Settings'!$B$12,"Too tight",IF($AH29&gt;'Settings'!$B$13,"Long wait","Feasible"))))</f>
        <v/>
      </c>
      <c r="AJ29" s="41">
        <f>IF($A29="","",IF($P29="","",$N29-$Z29-$AB29))</f>
        <v/>
      </c>
      <c r="AK29" s="38">
        <f>IF($A29="","",IF(COUNTIF($A$6:$A$205,$A29)&gt;1,"Duplicate Trip ID",IF($P29="","Open",IF(COUNTIF('Opportunities'!$A$6:$A$205,$P29)=0,"Load ID not found",IF(COUNTIFS('Opportunities'!$A$6:$A$205,$P29,'Opportunities'!$B$6:$B$205,$A29)=0,"Trip mismatch",IF(COUNTIF($P$6:$P$205,$P29)&gt;1,"Duplicate selection",IF(AND(OR($O29="Booked",$O29="Completed"),AND($Q29&lt;&gt;"Booked",$Q29&lt;&gt;"Completed")),"Status mismatch","OK")))))))</f>
        <v/>
      </c>
      <c r="AL29" s="46" t="n"/>
    </row>
    <row r="30">
      <c r="A30" s="34" t="n"/>
      <c r="B30" s="34" t="n"/>
      <c r="C30" s="34" t="n"/>
      <c r="D30" s="34" t="n"/>
      <c r="E30" s="34" t="n"/>
      <c r="F30" s="34" t="n"/>
      <c r="G30" s="34" t="n"/>
      <c r="H30" s="69" t="n"/>
      <c r="I30" s="36" t="n"/>
      <c r="J30" s="69" t="n"/>
      <c r="K30" s="36" t="n"/>
      <c r="L30" s="34" t="n"/>
      <c r="M30" s="34" t="n"/>
      <c r="N30" s="37" t="n"/>
      <c r="O30" s="34" t="n"/>
      <c r="P30" s="34" t="n"/>
      <c r="Q30" s="38">
        <f>IF($A30="","",IF($P30="","",IFERROR(INDEX('Opportunities'!$C$6:$C$205,MATCH($P30,'Opportunities'!$A$6:$A$205,0)),"")))</f>
        <v/>
      </c>
      <c r="R30" s="38">
        <f>IF($A30="","",IF($P30="","",IFERROR(INDEX('Opportunities'!$D$6:$D$205,MATCH($P30,'Opportunities'!$A$6:$A$205,0)),"")))</f>
        <v/>
      </c>
      <c r="S30" s="38">
        <f>IF($A30="","",IF($P30="","",IFERROR(INDEX('Opportunities'!$E$6:$E$205,MATCH($P30,'Opportunities'!$A$6:$A$205,0)),"")))</f>
        <v/>
      </c>
      <c r="T30" s="38">
        <f>IF($A30="","",IF($P30="","",IFERROR(INDEX('Opportunities'!$F$6:$F$205,MATCH($P30,'Opportunities'!$A$6:$A$205,0)),"")))</f>
        <v/>
      </c>
      <c r="U30" s="70">
        <f>IF($A30="","",IF($P30="","",IFERROR(INDEX('Opportunities'!$G$6:$G$205,MATCH($P30,'Opportunities'!$A$6:$A$205,0)),"")))</f>
        <v/>
      </c>
      <c r="V30" s="40">
        <f>IF($A30="","",IF($P30="","",IFERROR(INDEX('Opportunities'!$H$6:$H$205,MATCH($P30,'Opportunities'!$A$6:$A$205,0)),"")))</f>
        <v/>
      </c>
      <c r="W30" s="38">
        <f>IF($A30="","",IF($P30="","",IFERROR(INDEX('Opportunities'!$I$6:$I$205,MATCH($P30,'Opportunities'!$A$6:$A$205,0)),"")))</f>
        <v/>
      </c>
      <c r="X30" s="38">
        <f>IF($A30="","",IF($P30="","",IFERROR(INDEX('Opportunities'!$J$6:$J$205,MATCH($P30,'Opportunities'!$A$6:$A$205,0)),"")))</f>
        <v/>
      </c>
      <c r="Y30" s="70">
        <f>IF($A30="","",IF($P30="","",IFERROR(INDEX('Opportunities'!$K$6:$K$205,MATCH($P30,'Opportunities'!$A$6:$A$205,0)),"")))</f>
        <v/>
      </c>
      <c r="Z30" s="41">
        <f>IF($A30="","",IF($P30="","",IFERROR(INDEX('Opportunities'!$O$6:$O$205,MATCH($P30,'Opportunities'!$A$6:$A$205,0)),"")))</f>
        <v/>
      </c>
      <c r="AA30" s="41">
        <f>IF($A30="","",IF($P30="","",IFERROR(INDEX('Opportunities'!$P$6:$P$205,MATCH($P30,'Opportunities'!$A$6:$A$205,0)),"")))</f>
        <v/>
      </c>
      <c r="AB30" s="41">
        <f>IF($A30="","",IF($P30="","",IFERROR(INDEX('Opportunities'!$Q$6:$Q$205,MATCH($P30,'Opportunities'!$A$6:$A$205,0)),"")))</f>
        <v/>
      </c>
      <c r="AC30" s="71">
        <f>IF($A30="","",IF($P30="","",IFERROR(INDEX('Opportunities'!$Z$6:$Z$205,MATCH($P30,'Opportunities'!$A$6:$A$205,0)),"")))</f>
        <v/>
      </c>
      <c r="AD30" s="71">
        <f>IF($A30="","",IF($P30="","",IFERROR(INDEX('Opportunities'!$AJ$6:$AJ$205,MATCH($P30,'Opportunities'!$A$6:$A$205,0)),"")))</f>
        <v/>
      </c>
      <c r="AE30" s="72">
        <f>IF($A30="","",IF($P30="","",IFERROR(INDEX('Opportunities'!$AA$6:$AA$205,MATCH($P30,'Opportunities'!$A$6:$A$205,0)),"")))</f>
        <v/>
      </c>
      <c r="AF30" s="73">
        <f>IF($A30="","",IF($P30="","",IFERROR(INDEX('Opportunities'!$AF$6:$AF$205,MATCH($P30,'Opportunities'!$A$6:$A$205,0)),"")))</f>
        <v/>
      </c>
      <c r="AG30" s="41">
        <f>IF($A30="","",IF($P30="","",IFERROR(INDEX('Opportunities'!$AB$6:$AB$205,MATCH($P30,'Opportunities'!$A$6:$A$205,0)),"")))</f>
        <v/>
      </c>
      <c r="AH30" s="74">
        <f>IF($A30="","",IF($P30="","",IFERROR(($U30+$V30-$J30-$K30)*24,0)))</f>
        <v/>
      </c>
      <c r="AI30" s="38">
        <f>IF($A30="","",IF($P30="","No load selected",IF($AH30&lt;IFERROR($Z30/'Settings'!$B$11,0)+'Settings'!$B$12,"Too tight",IF($AH30&gt;'Settings'!$B$13,"Long wait","Feasible"))))</f>
        <v/>
      </c>
      <c r="AJ30" s="41">
        <f>IF($A30="","",IF($P30="","",$N30-$Z30-$AB30))</f>
        <v/>
      </c>
      <c r="AK30" s="38">
        <f>IF($A30="","",IF(COUNTIF($A$6:$A$205,$A30)&gt;1,"Duplicate Trip ID",IF($P30="","Open",IF(COUNTIF('Opportunities'!$A$6:$A$205,$P30)=0,"Load ID not found",IF(COUNTIFS('Opportunities'!$A$6:$A$205,$P30,'Opportunities'!$B$6:$B$205,$A30)=0,"Trip mismatch",IF(COUNTIF($P$6:$P$205,$P30)&gt;1,"Duplicate selection",IF(AND(OR($O30="Booked",$O30="Completed"),AND($Q30&lt;&gt;"Booked",$Q30&lt;&gt;"Completed")),"Status mismatch","OK")))))))</f>
        <v/>
      </c>
      <c r="AL30" s="46" t="n"/>
    </row>
    <row r="31">
      <c r="A31" s="34" t="n"/>
      <c r="B31" s="34" t="n"/>
      <c r="C31" s="34" t="n"/>
      <c r="D31" s="34" t="n"/>
      <c r="E31" s="34" t="n"/>
      <c r="F31" s="34" t="n"/>
      <c r="G31" s="34" t="n"/>
      <c r="H31" s="69" t="n"/>
      <c r="I31" s="36" t="n"/>
      <c r="J31" s="69" t="n"/>
      <c r="K31" s="36" t="n"/>
      <c r="L31" s="34" t="n"/>
      <c r="M31" s="34" t="n"/>
      <c r="N31" s="37" t="n"/>
      <c r="O31" s="34" t="n"/>
      <c r="P31" s="34" t="n"/>
      <c r="Q31" s="38">
        <f>IF($A31="","",IF($P31="","",IFERROR(INDEX('Opportunities'!$C$6:$C$205,MATCH($P31,'Opportunities'!$A$6:$A$205,0)),"")))</f>
        <v/>
      </c>
      <c r="R31" s="38">
        <f>IF($A31="","",IF($P31="","",IFERROR(INDEX('Opportunities'!$D$6:$D$205,MATCH($P31,'Opportunities'!$A$6:$A$205,0)),"")))</f>
        <v/>
      </c>
      <c r="S31" s="38">
        <f>IF($A31="","",IF($P31="","",IFERROR(INDEX('Opportunities'!$E$6:$E$205,MATCH($P31,'Opportunities'!$A$6:$A$205,0)),"")))</f>
        <v/>
      </c>
      <c r="T31" s="38">
        <f>IF($A31="","",IF($P31="","",IFERROR(INDEX('Opportunities'!$F$6:$F$205,MATCH($P31,'Opportunities'!$A$6:$A$205,0)),"")))</f>
        <v/>
      </c>
      <c r="U31" s="70">
        <f>IF($A31="","",IF($P31="","",IFERROR(INDEX('Opportunities'!$G$6:$G$205,MATCH($P31,'Opportunities'!$A$6:$A$205,0)),"")))</f>
        <v/>
      </c>
      <c r="V31" s="40">
        <f>IF($A31="","",IF($P31="","",IFERROR(INDEX('Opportunities'!$H$6:$H$205,MATCH($P31,'Opportunities'!$A$6:$A$205,0)),"")))</f>
        <v/>
      </c>
      <c r="W31" s="38">
        <f>IF($A31="","",IF($P31="","",IFERROR(INDEX('Opportunities'!$I$6:$I$205,MATCH($P31,'Opportunities'!$A$6:$A$205,0)),"")))</f>
        <v/>
      </c>
      <c r="X31" s="38">
        <f>IF($A31="","",IF($P31="","",IFERROR(INDEX('Opportunities'!$J$6:$J$205,MATCH($P31,'Opportunities'!$A$6:$A$205,0)),"")))</f>
        <v/>
      </c>
      <c r="Y31" s="70">
        <f>IF($A31="","",IF($P31="","",IFERROR(INDEX('Opportunities'!$K$6:$K$205,MATCH($P31,'Opportunities'!$A$6:$A$205,0)),"")))</f>
        <v/>
      </c>
      <c r="Z31" s="41">
        <f>IF($A31="","",IF($P31="","",IFERROR(INDEX('Opportunities'!$O$6:$O$205,MATCH($P31,'Opportunities'!$A$6:$A$205,0)),"")))</f>
        <v/>
      </c>
      <c r="AA31" s="41">
        <f>IF($A31="","",IF($P31="","",IFERROR(INDEX('Opportunities'!$P$6:$P$205,MATCH($P31,'Opportunities'!$A$6:$A$205,0)),"")))</f>
        <v/>
      </c>
      <c r="AB31" s="41">
        <f>IF($A31="","",IF($P31="","",IFERROR(INDEX('Opportunities'!$Q$6:$Q$205,MATCH($P31,'Opportunities'!$A$6:$A$205,0)),"")))</f>
        <v/>
      </c>
      <c r="AC31" s="71">
        <f>IF($A31="","",IF($P31="","",IFERROR(INDEX('Opportunities'!$Z$6:$Z$205,MATCH($P31,'Opportunities'!$A$6:$A$205,0)),"")))</f>
        <v/>
      </c>
      <c r="AD31" s="71">
        <f>IF($A31="","",IF($P31="","",IFERROR(INDEX('Opportunities'!$AJ$6:$AJ$205,MATCH($P31,'Opportunities'!$A$6:$A$205,0)),"")))</f>
        <v/>
      </c>
      <c r="AE31" s="72">
        <f>IF($A31="","",IF($P31="","",IFERROR(INDEX('Opportunities'!$AA$6:$AA$205,MATCH($P31,'Opportunities'!$A$6:$A$205,0)),"")))</f>
        <v/>
      </c>
      <c r="AF31" s="73">
        <f>IF($A31="","",IF($P31="","",IFERROR(INDEX('Opportunities'!$AF$6:$AF$205,MATCH($P31,'Opportunities'!$A$6:$A$205,0)),"")))</f>
        <v/>
      </c>
      <c r="AG31" s="41">
        <f>IF($A31="","",IF($P31="","",IFERROR(INDEX('Opportunities'!$AB$6:$AB$205,MATCH($P31,'Opportunities'!$A$6:$A$205,0)),"")))</f>
        <v/>
      </c>
      <c r="AH31" s="74">
        <f>IF($A31="","",IF($P31="","",IFERROR(($U31+$V31-$J31-$K31)*24,0)))</f>
        <v/>
      </c>
      <c r="AI31" s="38">
        <f>IF($A31="","",IF($P31="","No load selected",IF($AH31&lt;IFERROR($Z31/'Settings'!$B$11,0)+'Settings'!$B$12,"Too tight",IF($AH31&gt;'Settings'!$B$13,"Long wait","Feasible"))))</f>
        <v/>
      </c>
      <c r="AJ31" s="41">
        <f>IF($A31="","",IF($P31="","",$N31-$Z31-$AB31))</f>
        <v/>
      </c>
      <c r="AK31" s="38">
        <f>IF($A31="","",IF(COUNTIF($A$6:$A$205,$A31)&gt;1,"Duplicate Trip ID",IF($P31="","Open",IF(COUNTIF('Opportunities'!$A$6:$A$205,$P31)=0,"Load ID not found",IF(COUNTIFS('Opportunities'!$A$6:$A$205,$P31,'Opportunities'!$B$6:$B$205,$A31)=0,"Trip mismatch",IF(COUNTIF($P$6:$P$205,$P31)&gt;1,"Duplicate selection",IF(AND(OR($O31="Booked",$O31="Completed"),AND($Q31&lt;&gt;"Booked",$Q31&lt;&gt;"Completed")),"Status mismatch","OK")))))))</f>
        <v/>
      </c>
      <c r="AL31" s="46" t="n"/>
    </row>
    <row r="32">
      <c r="A32" s="34" t="n"/>
      <c r="B32" s="34" t="n"/>
      <c r="C32" s="34" t="n"/>
      <c r="D32" s="34" t="n"/>
      <c r="E32" s="34" t="n"/>
      <c r="F32" s="34" t="n"/>
      <c r="G32" s="34" t="n"/>
      <c r="H32" s="69" t="n"/>
      <c r="I32" s="36" t="n"/>
      <c r="J32" s="69" t="n"/>
      <c r="K32" s="36" t="n"/>
      <c r="L32" s="34" t="n"/>
      <c r="M32" s="34" t="n"/>
      <c r="N32" s="37" t="n"/>
      <c r="O32" s="34" t="n"/>
      <c r="P32" s="34" t="n"/>
      <c r="Q32" s="38">
        <f>IF($A32="","",IF($P32="","",IFERROR(INDEX('Opportunities'!$C$6:$C$205,MATCH($P32,'Opportunities'!$A$6:$A$205,0)),"")))</f>
        <v/>
      </c>
      <c r="R32" s="38">
        <f>IF($A32="","",IF($P32="","",IFERROR(INDEX('Opportunities'!$D$6:$D$205,MATCH($P32,'Opportunities'!$A$6:$A$205,0)),"")))</f>
        <v/>
      </c>
      <c r="S32" s="38">
        <f>IF($A32="","",IF($P32="","",IFERROR(INDEX('Opportunities'!$E$6:$E$205,MATCH($P32,'Opportunities'!$A$6:$A$205,0)),"")))</f>
        <v/>
      </c>
      <c r="T32" s="38">
        <f>IF($A32="","",IF($P32="","",IFERROR(INDEX('Opportunities'!$F$6:$F$205,MATCH($P32,'Opportunities'!$A$6:$A$205,0)),"")))</f>
        <v/>
      </c>
      <c r="U32" s="70">
        <f>IF($A32="","",IF($P32="","",IFERROR(INDEX('Opportunities'!$G$6:$G$205,MATCH($P32,'Opportunities'!$A$6:$A$205,0)),"")))</f>
        <v/>
      </c>
      <c r="V32" s="40">
        <f>IF($A32="","",IF($P32="","",IFERROR(INDEX('Opportunities'!$H$6:$H$205,MATCH($P32,'Opportunities'!$A$6:$A$205,0)),"")))</f>
        <v/>
      </c>
      <c r="W32" s="38">
        <f>IF($A32="","",IF($P32="","",IFERROR(INDEX('Opportunities'!$I$6:$I$205,MATCH($P32,'Opportunities'!$A$6:$A$205,0)),"")))</f>
        <v/>
      </c>
      <c r="X32" s="38">
        <f>IF($A32="","",IF($P32="","",IFERROR(INDEX('Opportunities'!$J$6:$J$205,MATCH($P32,'Opportunities'!$A$6:$A$205,0)),"")))</f>
        <v/>
      </c>
      <c r="Y32" s="70">
        <f>IF($A32="","",IF($P32="","",IFERROR(INDEX('Opportunities'!$K$6:$K$205,MATCH($P32,'Opportunities'!$A$6:$A$205,0)),"")))</f>
        <v/>
      </c>
      <c r="Z32" s="41">
        <f>IF($A32="","",IF($P32="","",IFERROR(INDEX('Opportunities'!$O$6:$O$205,MATCH($P32,'Opportunities'!$A$6:$A$205,0)),"")))</f>
        <v/>
      </c>
      <c r="AA32" s="41">
        <f>IF($A32="","",IF($P32="","",IFERROR(INDEX('Opportunities'!$P$6:$P$205,MATCH($P32,'Opportunities'!$A$6:$A$205,0)),"")))</f>
        <v/>
      </c>
      <c r="AB32" s="41">
        <f>IF($A32="","",IF($P32="","",IFERROR(INDEX('Opportunities'!$Q$6:$Q$205,MATCH($P32,'Opportunities'!$A$6:$A$205,0)),"")))</f>
        <v/>
      </c>
      <c r="AC32" s="71">
        <f>IF($A32="","",IF($P32="","",IFERROR(INDEX('Opportunities'!$Z$6:$Z$205,MATCH($P32,'Opportunities'!$A$6:$A$205,0)),"")))</f>
        <v/>
      </c>
      <c r="AD32" s="71">
        <f>IF($A32="","",IF($P32="","",IFERROR(INDEX('Opportunities'!$AJ$6:$AJ$205,MATCH($P32,'Opportunities'!$A$6:$A$205,0)),"")))</f>
        <v/>
      </c>
      <c r="AE32" s="72">
        <f>IF($A32="","",IF($P32="","",IFERROR(INDEX('Opportunities'!$AA$6:$AA$205,MATCH($P32,'Opportunities'!$A$6:$A$205,0)),"")))</f>
        <v/>
      </c>
      <c r="AF32" s="73">
        <f>IF($A32="","",IF($P32="","",IFERROR(INDEX('Opportunities'!$AF$6:$AF$205,MATCH($P32,'Opportunities'!$A$6:$A$205,0)),"")))</f>
        <v/>
      </c>
      <c r="AG32" s="41">
        <f>IF($A32="","",IF($P32="","",IFERROR(INDEX('Opportunities'!$AB$6:$AB$205,MATCH($P32,'Opportunities'!$A$6:$A$205,0)),"")))</f>
        <v/>
      </c>
      <c r="AH32" s="74">
        <f>IF($A32="","",IF($P32="","",IFERROR(($U32+$V32-$J32-$K32)*24,0)))</f>
        <v/>
      </c>
      <c r="AI32" s="38">
        <f>IF($A32="","",IF($P32="","No load selected",IF($AH32&lt;IFERROR($Z32/'Settings'!$B$11,0)+'Settings'!$B$12,"Too tight",IF($AH32&gt;'Settings'!$B$13,"Long wait","Feasible"))))</f>
        <v/>
      </c>
      <c r="AJ32" s="41">
        <f>IF($A32="","",IF($P32="","",$N32-$Z32-$AB32))</f>
        <v/>
      </c>
      <c r="AK32" s="38">
        <f>IF($A32="","",IF(COUNTIF($A$6:$A$205,$A32)&gt;1,"Duplicate Trip ID",IF($P32="","Open",IF(COUNTIF('Opportunities'!$A$6:$A$205,$P32)=0,"Load ID not found",IF(COUNTIFS('Opportunities'!$A$6:$A$205,$P32,'Opportunities'!$B$6:$B$205,$A32)=0,"Trip mismatch",IF(COUNTIF($P$6:$P$205,$P32)&gt;1,"Duplicate selection",IF(AND(OR($O32="Booked",$O32="Completed"),AND($Q32&lt;&gt;"Booked",$Q32&lt;&gt;"Completed")),"Status mismatch","OK")))))))</f>
        <v/>
      </c>
      <c r="AL32" s="46" t="n"/>
    </row>
    <row r="33">
      <c r="A33" s="34" t="n"/>
      <c r="B33" s="34" t="n"/>
      <c r="C33" s="34" t="n"/>
      <c r="D33" s="34" t="n"/>
      <c r="E33" s="34" t="n"/>
      <c r="F33" s="34" t="n"/>
      <c r="G33" s="34" t="n"/>
      <c r="H33" s="69" t="n"/>
      <c r="I33" s="36" t="n"/>
      <c r="J33" s="69" t="n"/>
      <c r="K33" s="36" t="n"/>
      <c r="L33" s="34" t="n"/>
      <c r="M33" s="34" t="n"/>
      <c r="N33" s="37" t="n"/>
      <c r="O33" s="34" t="n"/>
      <c r="P33" s="34" t="n"/>
      <c r="Q33" s="38">
        <f>IF($A33="","",IF($P33="","",IFERROR(INDEX('Opportunities'!$C$6:$C$205,MATCH($P33,'Opportunities'!$A$6:$A$205,0)),"")))</f>
        <v/>
      </c>
      <c r="R33" s="38">
        <f>IF($A33="","",IF($P33="","",IFERROR(INDEX('Opportunities'!$D$6:$D$205,MATCH($P33,'Opportunities'!$A$6:$A$205,0)),"")))</f>
        <v/>
      </c>
      <c r="S33" s="38">
        <f>IF($A33="","",IF($P33="","",IFERROR(INDEX('Opportunities'!$E$6:$E$205,MATCH($P33,'Opportunities'!$A$6:$A$205,0)),"")))</f>
        <v/>
      </c>
      <c r="T33" s="38">
        <f>IF($A33="","",IF($P33="","",IFERROR(INDEX('Opportunities'!$F$6:$F$205,MATCH($P33,'Opportunities'!$A$6:$A$205,0)),"")))</f>
        <v/>
      </c>
      <c r="U33" s="70">
        <f>IF($A33="","",IF($P33="","",IFERROR(INDEX('Opportunities'!$G$6:$G$205,MATCH($P33,'Opportunities'!$A$6:$A$205,0)),"")))</f>
        <v/>
      </c>
      <c r="V33" s="40">
        <f>IF($A33="","",IF($P33="","",IFERROR(INDEX('Opportunities'!$H$6:$H$205,MATCH($P33,'Opportunities'!$A$6:$A$205,0)),"")))</f>
        <v/>
      </c>
      <c r="W33" s="38">
        <f>IF($A33="","",IF($P33="","",IFERROR(INDEX('Opportunities'!$I$6:$I$205,MATCH($P33,'Opportunities'!$A$6:$A$205,0)),"")))</f>
        <v/>
      </c>
      <c r="X33" s="38">
        <f>IF($A33="","",IF($P33="","",IFERROR(INDEX('Opportunities'!$J$6:$J$205,MATCH($P33,'Opportunities'!$A$6:$A$205,0)),"")))</f>
        <v/>
      </c>
      <c r="Y33" s="70">
        <f>IF($A33="","",IF($P33="","",IFERROR(INDEX('Opportunities'!$K$6:$K$205,MATCH($P33,'Opportunities'!$A$6:$A$205,0)),"")))</f>
        <v/>
      </c>
      <c r="Z33" s="41">
        <f>IF($A33="","",IF($P33="","",IFERROR(INDEX('Opportunities'!$O$6:$O$205,MATCH($P33,'Opportunities'!$A$6:$A$205,0)),"")))</f>
        <v/>
      </c>
      <c r="AA33" s="41">
        <f>IF($A33="","",IF($P33="","",IFERROR(INDEX('Opportunities'!$P$6:$P$205,MATCH($P33,'Opportunities'!$A$6:$A$205,0)),"")))</f>
        <v/>
      </c>
      <c r="AB33" s="41">
        <f>IF($A33="","",IF($P33="","",IFERROR(INDEX('Opportunities'!$Q$6:$Q$205,MATCH($P33,'Opportunities'!$A$6:$A$205,0)),"")))</f>
        <v/>
      </c>
      <c r="AC33" s="71">
        <f>IF($A33="","",IF($P33="","",IFERROR(INDEX('Opportunities'!$Z$6:$Z$205,MATCH($P33,'Opportunities'!$A$6:$A$205,0)),"")))</f>
        <v/>
      </c>
      <c r="AD33" s="71">
        <f>IF($A33="","",IF($P33="","",IFERROR(INDEX('Opportunities'!$AJ$6:$AJ$205,MATCH($P33,'Opportunities'!$A$6:$A$205,0)),"")))</f>
        <v/>
      </c>
      <c r="AE33" s="72">
        <f>IF($A33="","",IF($P33="","",IFERROR(INDEX('Opportunities'!$AA$6:$AA$205,MATCH($P33,'Opportunities'!$A$6:$A$205,0)),"")))</f>
        <v/>
      </c>
      <c r="AF33" s="73">
        <f>IF($A33="","",IF($P33="","",IFERROR(INDEX('Opportunities'!$AF$6:$AF$205,MATCH($P33,'Opportunities'!$A$6:$A$205,0)),"")))</f>
        <v/>
      </c>
      <c r="AG33" s="41">
        <f>IF($A33="","",IF($P33="","",IFERROR(INDEX('Opportunities'!$AB$6:$AB$205,MATCH($P33,'Opportunities'!$A$6:$A$205,0)),"")))</f>
        <v/>
      </c>
      <c r="AH33" s="74">
        <f>IF($A33="","",IF($P33="","",IFERROR(($U33+$V33-$J33-$K33)*24,0)))</f>
        <v/>
      </c>
      <c r="AI33" s="38">
        <f>IF($A33="","",IF($P33="","No load selected",IF($AH33&lt;IFERROR($Z33/'Settings'!$B$11,0)+'Settings'!$B$12,"Too tight",IF($AH33&gt;'Settings'!$B$13,"Long wait","Feasible"))))</f>
        <v/>
      </c>
      <c r="AJ33" s="41">
        <f>IF($A33="","",IF($P33="","",$N33-$Z33-$AB33))</f>
        <v/>
      </c>
      <c r="AK33" s="38">
        <f>IF($A33="","",IF(COUNTIF($A$6:$A$205,$A33)&gt;1,"Duplicate Trip ID",IF($P33="","Open",IF(COUNTIF('Opportunities'!$A$6:$A$205,$P33)=0,"Load ID not found",IF(COUNTIFS('Opportunities'!$A$6:$A$205,$P33,'Opportunities'!$B$6:$B$205,$A33)=0,"Trip mismatch",IF(COUNTIF($P$6:$P$205,$P33)&gt;1,"Duplicate selection",IF(AND(OR($O33="Booked",$O33="Completed"),AND($Q33&lt;&gt;"Booked",$Q33&lt;&gt;"Completed")),"Status mismatch","OK")))))))</f>
        <v/>
      </c>
      <c r="AL33" s="46" t="n"/>
    </row>
    <row r="34">
      <c r="A34" s="34" t="n"/>
      <c r="B34" s="34" t="n"/>
      <c r="C34" s="34" t="n"/>
      <c r="D34" s="34" t="n"/>
      <c r="E34" s="34" t="n"/>
      <c r="F34" s="34" t="n"/>
      <c r="G34" s="34" t="n"/>
      <c r="H34" s="69" t="n"/>
      <c r="I34" s="36" t="n"/>
      <c r="J34" s="69" t="n"/>
      <c r="K34" s="36" t="n"/>
      <c r="L34" s="34" t="n"/>
      <c r="M34" s="34" t="n"/>
      <c r="N34" s="37" t="n"/>
      <c r="O34" s="34" t="n"/>
      <c r="P34" s="34" t="n"/>
      <c r="Q34" s="38">
        <f>IF($A34="","",IF($P34="","",IFERROR(INDEX('Opportunities'!$C$6:$C$205,MATCH($P34,'Opportunities'!$A$6:$A$205,0)),"")))</f>
        <v/>
      </c>
      <c r="R34" s="38">
        <f>IF($A34="","",IF($P34="","",IFERROR(INDEX('Opportunities'!$D$6:$D$205,MATCH($P34,'Opportunities'!$A$6:$A$205,0)),"")))</f>
        <v/>
      </c>
      <c r="S34" s="38">
        <f>IF($A34="","",IF($P34="","",IFERROR(INDEX('Opportunities'!$E$6:$E$205,MATCH($P34,'Opportunities'!$A$6:$A$205,0)),"")))</f>
        <v/>
      </c>
      <c r="T34" s="38">
        <f>IF($A34="","",IF($P34="","",IFERROR(INDEX('Opportunities'!$F$6:$F$205,MATCH($P34,'Opportunities'!$A$6:$A$205,0)),"")))</f>
        <v/>
      </c>
      <c r="U34" s="70">
        <f>IF($A34="","",IF($P34="","",IFERROR(INDEX('Opportunities'!$G$6:$G$205,MATCH($P34,'Opportunities'!$A$6:$A$205,0)),"")))</f>
        <v/>
      </c>
      <c r="V34" s="40">
        <f>IF($A34="","",IF($P34="","",IFERROR(INDEX('Opportunities'!$H$6:$H$205,MATCH($P34,'Opportunities'!$A$6:$A$205,0)),"")))</f>
        <v/>
      </c>
      <c r="W34" s="38">
        <f>IF($A34="","",IF($P34="","",IFERROR(INDEX('Opportunities'!$I$6:$I$205,MATCH($P34,'Opportunities'!$A$6:$A$205,0)),"")))</f>
        <v/>
      </c>
      <c r="X34" s="38">
        <f>IF($A34="","",IF($P34="","",IFERROR(INDEX('Opportunities'!$J$6:$J$205,MATCH($P34,'Opportunities'!$A$6:$A$205,0)),"")))</f>
        <v/>
      </c>
      <c r="Y34" s="70">
        <f>IF($A34="","",IF($P34="","",IFERROR(INDEX('Opportunities'!$K$6:$K$205,MATCH($P34,'Opportunities'!$A$6:$A$205,0)),"")))</f>
        <v/>
      </c>
      <c r="Z34" s="41">
        <f>IF($A34="","",IF($P34="","",IFERROR(INDEX('Opportunities'!$O$6:$O$205,MATCH($P34,'Opportunities'!$A$6:$A$205,0)),"")))</f>
        <v/>
      </c>
      <c r="AA34" s="41">
        <f>IF($A34="","",IF($P34="","",IFERROR(INDEX('Opportunities'!$P$6:$P$205,MATCH($P34,'Opportunities'!$A$6:$A$205,0)),"")))</f>
        <v/>
      </c>
      <c r="AB34" s="41">
        <f>IF($A34="","",IF($P34="","",IFERROR(INDEX('Opportunities'!$Q$6:$Q$205,MATCH($P34,'Opportunities'!$A$6:$A$205,0)),"")))</f>
        <v/>
      </c>
      <c r="AC34" s="71">
        <f>IF($A34="","",IF($P34="","",IFERROR(INDEX('Opportunities'!$Z$6:$Z$205,MATCH($P34,'Opportunities'!$A$6:$A$205,0)),"")))</f>
        <v/>
      </c>
      <c r="AD34" s="71">
        <f>IF($A34="","",IF($P34="","",IFERROR(INDEX('Opportunities'!$AJ$6:$AJ$205,MATCH($P34,'Opportunities'!$A$6:$A$205,0)),"")))</f>
        <v/>
      </c>
      <c r="AE34" s="72">
        <f>IF($A34="","",IF($P34="","",IFERROR(INDEX('Opportunities'!$AA$6:$AA$205,MATCH($P34,'Opportunities'!$A$6:$A$205,0)),"")))</f>
        <v/>
      </c>
      <c r="AF34" s="73">
        <f>IF($A34="","",IF($P34="","",IFERROR(INDEX('Opportunities'!$AF$6:$AF$205,MATCH($P34,'Opportunities'!$A$6:$A$205,0)),"")))</f>
        <v/>
      </c>
      <c r="AG34" s="41">
        <f>IF($A34="","",IF($P34="","",IFERROR(INDEX('Opportunities'!$AB$6:$AB$205,MATCH($P34,'Opportunities'!$A$6:$A$205,0)),"")))</f>
        <v/>
      </c>
      <c r="AH34" s="74">
        <f>IF($A34="","",IF($P34="","",IFERROR(($U34+$V34-$J34-$K34)*24,0)))</f>
        <v/>
      </c>
      <c r="AI34" s="38">
        <f>IF($A34="","",IF($P34="","No load selected",IF($AH34&lt;IFERROR($Z34/'Settings'!$B$11,0)+'Settings'!$B$12,"Too tight",IF($AH34&gt;'Settings'!$B$13,"Long wait","Feasible"))))</f>
        <v/>
      </c>
      <c r="AJ34" s="41">
        <f>IF($A34="","",IF($P34="","",$N34-$Z34-$AB34))</f>
        <v/>
      </c>
      <c r="AK34" s="38">
        <f>IF($A34="","",IF(COUNTIF($A$6:$A$205,$A34)&gt;1,"Duplicate Trip ID",IF($P34="","Open",IF(COUNTIF('Opportunities'!$A$6:$A$205,$P34)=0,"Load ID not found",IF(COUNTIFS('Opportunities'!$A$6:$A$205,$P34,'Opportunities'!$B$6:$B$205,$A34)=0,"Trip mismatch",IF(COUNTIF($P$6:$P$205,$P34)&gt;1,"Duplicate selection",IF(AND(OR($O34="Booked",$O34="Completed"),AND($Q34&lt;&gt;"Booked",$Q34&lt;&gt;"Completed")),"Status mismatch","OK")))))))</f>
        <v/>
      </c>
      <c r="AL34" s="46" t="n"/>
    </row>
    <row r="35">
      <c r="A35" s="34" t="n"/>
      <c r="B35" s="34" t="n"/>
      <c r="C35" s="34" t="n"/>
      <c r="D35" s="34" t="n"/>
      <c r="E35" s="34" t="n"/>
      <c r="F35" s="34" t="n"/>
      <c r="G35" s="34" t="n"/>
      <c r="H35" s="69" t="n"/>
      <c r="I35" s="36" t="n"/>
      <c r="J35" s="69" t="n"/>
      <c r="K35" s="36" t="n"/>
      <c r="L35" s="34" t="n"/>
      <c r="M35" s="34" t="n"/>
      <c r="N35" s="37" t="n"/>
      <c r="O35" s="34" t="n"/>
      <c r="P35" s="34" t="n"/>
      <c r="Q35" s="38">
        <f>IF($A35="","",IF($P35="","",IFERROR(INDEX('Opportunities'!$C$6:$C$205,MATCH($P35,'Opportunities'!$A$6:$A$205,0)),"")))</f>
        <v/>
      </c>
      <c r="R35" s="38">
        <f>IF($A35="","",IF($P35="","",IFERROR(INDEX('Opportunities'!$D$6:$D$205,MATCH($P35,'Opportunities'!$A$6:$A$205,0)),"")))</f>
        <v/>
      </c>
      <c r="S35" s="38">
        <f>IF($A35="","",IF($P35="","",IFERROR(INDEX('Opportunities'!$E$6:$E$205,MATCH($P35,'Opportunities'!$A$6:$A$205,0)),"")))</f>
        <v/>
      </c>
      <c r="T35" s="38">
        <f>IF($A35="","",IF($P35="","",IFERROR(INDEX('Opportunities'!$F$6:$F$205,MATCH($P35,'Opportunities'!$A$6:$A$205,0)),"")))</f>
        <v/>
      </c>
      <c r="U35" s="70">
        <f>IF($A35="","",IF($P35="","",IFERROR(INDEX('Opportunities'!$G$6:$G$205,MATCH($P35,'Opportunities'!$A$6:$A$205,0)),"")))</f>
        <v/>
      </c>
      <c r="V35" s="40">
        <f>IF($A35="","",IF($P35="","",IFERROR(INDEX('Opportunities'!$H$6:$H$205,MATCH($P35,'Opportunities'!$A$6:$A$205,0)),"")))</f>
        <v/>
      </c>
      <c r="W35" s="38">
        <f>IF($A35="","",IF($P35="","",IFERROR(INDEX('Opportunities'!$I$6:$I$205,MATCH($P35,'Opportunities'!$A$6:$A$205,0)),"")))</f>
        <v/>
      </c>
      <c r="X35" s="38">
        <f>IF($A35="","",IF($P35="","",IFERROR(INDEX('Opportunities'!$J$6:$J$205,MATCH($P35,'Opportunities'!$A$6:$A$205,0)),"")))</f>
        <v/>
      </c>
      <c r="Y35" s="70">
        <f>IF($A35="","",IF($P35="","",IFERROR(INDEX('Opportunities'!$K$6:$K$205,MATCH($P35,'Opportunities'!$A$6:$A$205,0)),"")))</f>
        <v/>
      </c>
      <c r="Z35" s="41">
        <f>IF($A35="","",IF($P35="","",IFERROR(INDEX('Opportunities'!$O$6:$O$205,MATCH($P35,'Opportunities'!$A$6:$A$205,0)),"")))</f>
        <v/>
      </c>
      <c r="AA35" s="41">
        <f>IF($A35="","",IF($P35="","",IFERROR(INDEX('Opportunities'!$P$6:$P$205,MATCH($P35,'Opportunities'!$A$6:$A$205,0)),"")))</f>
        <v/>
      </c>
      <c r="AB35" s="41">
        <f>IF($A35="","",IF($P35="","",IFERROR(INDEX('Opportunities'!$Q$6:$Q$205,MATCH($P35,'Opportunities'!$A$6:$A$205,0)),"")))</f>
        <v/>
      </c>
      <c r="AC35" s="71">
        <f>IF($A35="","",IF($P35="","",IFERROR(INDEX('Opportunities'!$Z$6:$Z$205,MATCH($P35,'Opportunities'!$A$6:$A$205,0)),"")))</f>
        <v/>
      </c>
      <c r="AD35" s="71">
        <f>IF($A35="","",IF($P35="","",IFERROR(INDEX('Opportunities'!$AJ$6:$AJ$205,MATCH($P35,'Opportunities'!$A$6:$A$205,0)),"")))</f>
        <v/>
      </c>
      <c r="AE35" s="72">
        <f>IF($A35="","",IF($P35="","",IFERROR(INDEX('Opportunities'!$AA$6:$AA$205,MATCH($P35,'Opportunities'!$A$6:$A$205,0)),"")))</f>
        <v/>
      </c>
      <c r="AF35" s="73">
        <f>IF($A35="","",IF($P35="","",IFERROR(INDEX('Opportunities'!$AF$6:$AF$205,MATCH($P35,'Opportunities'!$A$6:$A$205,0)),"")))</f>
        <v/>
      </c>
      <c r="AG35" s="41">
        <f>IF($A35="","",IF($P35="","",IFERROR(INDEX('Opportunities'!$AB$6:$AB$205,MATCH($P35,'Opportunities'!$A$6:$A$205,0)),"")))</f>
        <v/>
      </c>
      <c r="AH35" s="74">
        <f>IF($A35="","",IF($P35="","",IFERROR(($U35+$V35-$J35-$K35)*24,0)))</f>
        <v/>
      </c>
      <c r="AI35" s="38">
        <f>IF($A35="","",IF($P35="","No load selected",IF($AH35&lt;IFERROR($Z35/'Settings'!$B$11,0)+'Settings'!$B$12,"Too tight",IF($AH35&gt;'Settings'!$B$13,"Long wait","Feasible"))))</f>
        <v/>
      </c>
      <c r="AJ35" s="41">
        <f>IF($A35="","",IF($P35="","",$N35-$Z35-$AB35))</f>
        <v/>
      </c>
      <c r="AK35" s="38">
        <f>IF($A35="","",IF(COUNTIF($A$6:$A$205,$A35)&gt;1,"Duplicate Trip ID",IF($P35="","Open",IF(COUNTIF('Opportunities'!$A$6:$A$205,$P35)=0,"Load ID not found",IF(COUNTIFS('Opportunities'!$A$6:$A$205,$P35,'Opportunities'!$B$6:$B$205,$A35)=0,"Trip mismatch",IF(COUNTIF($P$6:$P$205,$P35)&gt;1,"Duplicate selection",IF(AND(OR($O35="Booked",$O35="Completed"),AND($Q35&lt;&gt;"Booked",$Q35&lt;&gt;"Completed")),"Status mismatch","OK")))))))</f>
        <v/>
      </c>
      <c r="AL35" s="46" t="n"/>
    </row>
    <row r="36">
      <c r="A36" s="34" t="n"/>
      <c r="B36" s="34" t="n"/>
      <c r="C36" s="34" t="n"/>
      <c r="D36" s="34" t="n"/>
      <c r="E36" s="34" t="n"/>
      <c r="F36" s="34" t="n"/>
      <c r="G36" s="34" t="n"/>
      <c r="H36" s="69" t="n"/>
      <c r="I36" s="36" t="n"/>
      <c r="J36" s="69" t="n"/>
      <c r="K36" s="36" t="n"/>
      <c r="L36" s="34" t="n"/>
      <c r="M36" s="34" t="n"/>
      <c r="N36" s="37" t="n"/>
      <c r="O36" s="34" t="n"/>
      <c r="P36" s="34" t="n"/>
      <c r="Q36" s="38">
        <f>IF($A36="","",IF($P36="","",IFERROR(INDEX('Opportunities'!$C$6:$C$205,MATCH($P36,'Opportunities'!$A$6:$A$205,0)),"")))</f>
        <v/>
      </c>
      <c r="R36" s="38">
        <f>IF($A36="","",IF($P36="","",IFERROR(INDEX('Opportunities'!$D$6:$D$205,MATCH($P36,'Opportunities'!$A$6:$A$205,0)),"")))</f>
        <v/>
      </c>
      <c r="S36" s="38">
        <f>IF($A36="","",IF($P36="","",IFERROR(INDEX('Opportunities'!$E$6:$E$205,MATCH($P36,'Opportunities'!$A$6:$A$205,0)),"")))</f>
        <v/>
      </c>
      <c r="T36" s="38">
        <f>IF($A36="","",IF($P36="","",IFERROR(INDEX('Opportunities'!$F$6:$F$205,MATCH($P36,'Opportunities'!$A$6:$A$205,0)),"")))</f>
        <v/>
      </c>
      <c r="U36" s="70">
        <f>IF($A36="","",IF($P36="","",IFERROR(INDEX('Opportunities'!$G$6:$G$205,MATCH($P36,'Opportunities'!$A$6:$A$205,0)),"")))</f>
        <v/>
      </c>
      <c r="V36" s="40">
        <f>IF($A36="","",IF($P36="","",IFERROR(INDEX('Opportunities'!$H$6:$H$205,MATCH($P36,'Opportunities'!$A$6:$A$205,0)),"")))</f>
        <v/>
      </c>
      <c r="W36" s="38">
        <f>IF($A36="","",IF($P36="","",IFERROR(INDEX('Opportunities'!$I$6:$I$205,MATCH($P36,'Opportunities'!$A$6:$A$205,0)),"")))</f>
        <v/>
      </c>
      <c r="X36" s="38">
        <f>IF($A36="","",IF($P36="","",IFERROR(INDEX('Opportunities'!$J$6:$J$205,MATCH($P36,'Opportunities'!$A$6:$A$205,0)),"")))</f>
        <v/>
      </c>
      <c r="Y36" s="70">
        <f>IF($A36="","",IF($P36="","",IFERROR(INDEX('Opportunities'!$K$6:$K$205,MATCH($P36,'Opportunities'!$A$6:$A$205,0)),"")))</f>
        <v/>
      </c>
      <c r="Z36" s="41">
        <f>IF($A36="","",IF($P36="","",IFERROR(INDEX('Opportunities'!$O$6:$O$205,MATCH($P36,'Opportunities'!$A$6:$A$205,0)),"")))</f>
        <v/>
      </c>
      <c r="AA36" s="41">
        <f>IF($A36="","",IF($P36="","",IFERROR(INDEX('Opportunities'!$P$6:$P$205,MATCH($P36,'Opportunities'!$A$6:$A$205,0)),"")))</f>
        <v/>
      </c>
      <c r="AB36" s="41">
        <f>IF($A36="","",IF($P36="","",IFERROR(INDEX('Opportunities'!$Q$6:$Q$205,MATCH($P36,'Opportunities'!$A$6:$A$205,0)),"")))</f>
        <v/>
      </c>
      <c r="AC36" s="71">
        <f>IF($A36="","",IF($P36="","",IFERROR(INDEX('Opportunities'!$Z$6:$Z$205,MATCH($P36,'Opportunities'!$A$6:$A$205,0)),"")))</f>
        <v/>
      </c>
      <c r="AD36" s="71">
        <f>IF($A36="","",IF($P36="","",IFERROR(INDEX('Opportunities'!$AJ$6:$AJ$205,MATCH($P36,'Opportunities'!$A$6:$A$205,0)),"")))</f>
        <v/>
      </c>
      <c r="AE36" s="72">
        <f>IF($A36="","",IF($P36="","",IFERROR(INDEX('Opportunities'!$AA$6:$AA$205,MATCH($P36,'Opportunities'!$A$6:$A$205,0)),"")))</f>
        <v/>
      </c>
      <c r="AF36" s="73">
        <f>IF($A36="","",IF($P36="","",IFERROR(INDEX('Opportunities'!$AF$6:$AF$205,MATCH($P36,'Opportunities'!$A$6:$A$205,0)),"")))</f>
        <v/>
      </c>
      <c r="AG36" s="41">
        <f>IF($A36="","",IF($P36="","",IFERROR(INDEX('Opportunities'!$AB$6:$AB$205,MATCH($P36,'Opportunities'!$A$6:$A$205,0)),"")))</f>
        <v/>
      </c>
      <c r="AH36" s="74">
        <f>IF($A36="","",IF($P36="","",IFERROR(($U36+$V36-$J36-$K36)*24,0)))</f>
        <v/>
      </c>
      <c r="AI36" s="38">
        <f>IF($A36="","",IF($P36="","No load selected",IF($AH36&lt;IFERROR($Z36/'Settings'!$B$11,0)+'Settings'!$B$12,"Too tight",IF($AH36&gt;'Settings'!$B$13,"Long wait","Feasible"))))</f>
        <v/>
      </c>
      <c r="AJ36" s="41">
        <f>IF($A36="","",IF($P36="","",$N36-$Z36-$AB36))</f>
        <v/>
      </c>
      <c r="AK36" s="38">
        <f>IF($A36="","",IF(COUNTIF($A$6:$A$205,$A36)&gt;1,"Duplicate Trip ID",IF($P36="","Open",IF(COUNTIF('Opportunities'!$A$6:$A$205,$P36)=0,"Load ID not found",IF(COUNTIFS('Opportunities'!$A$6:$A$205,$P36,'Opportunities'!$B$6:$B$205,$A36)=0,"Trip mismatch",IF(COUNTIF($P$6:$P$205,$P36)&gt;1,"Duplicate selection",IF(AND(OR($O36="Booked",$O36="Completed"),AND($Q36&lt;&gt;"Booked",$Q36&lt;&gt;"Completed")),"Status mismatch","OK")))))))</f>
        <v/>
      </c>
      <c r="AL36" s="46" t="n"/>
    </row>
    <row r="37">
      <c r="A37" s="34" t="n"/>
      <c r="B37" s="34" t="n"/>
      <c r="C37" s="34" t="n"/>
      <c r="D37" s="34" t="n"/>
      <c r="E37" s="34" t="n"/>
      <c r="F37" s="34" t="n"/>
      <c r="G37" s="34" t="n"/>
      <c r="H37" s="69" t="n"/>
      <c r="I37" s="36" t="n"/>
      <c r="J37" s="69" t="n"/>
      <c r="K37" s="36" t="n"/>
      <c r="L37" s="34" t="n"/>
      <c r="M37" s="34" t="n"/>
      <c r="N37" s="37" t="n"/>
      <c r="O37" s="34" t="n"/>
      <c r="P37" s="34" t="n"/>
      <c r="Q37" s="38">
        <f>IF($A37="","",IF($P37="","",IFERROR(INDEX('Opportunities'!$C$6:$C$205,MATCH($P37,'Opportunities'!$A$6:$A$205,0)),"")))</f>
        <v/>
      </c>
      <c r="R37" s="38">
        <f>IF($A37="","",IF($P37="","",IFERROR(INDEX('Opportunities'!$D$6:$D$205,MATCH($P37,'Opportunities'!$A$6:$A$205,0)),"")))</f>
        <v/>
      </c>
      <c r="S37" s="38">
        <f>IF($A37="","",IF($P37="","",IFERROR(INDEX('Opportunities'!$E$6:$E$205,MATCH($P37,'Opportunities'!$A$6:$A$205,0)),"")))</f>
        <v/>
      </c>
      <c r="T37" s="38">
        <f>IF($A37="","",IF($P37="","",IFERROR(INDEX('Opportunities'!$F$6:$F$205,MATCH($P37,'Opportunities'!$A$6:$A$205,0)),"")))</f>
        <v/>
      </c>
      <c r="U37" s="70">
        <f>IF($A37="","",IF($P37="","",IFERROR(INDEX('Opportunities'!$G$6:$G$205,MATCH($P37,'Opportunities'!$A$6:$A$205,0)),"")))</f>
        <v/>
      </c>
      <c r="V37" s="40">
        <f>IF($A37="","",IF($P37="","",IFERROR(INDEX('Opportunities'!$H$6:$H$205,MATCH($P37,'Opportunities'!$A$6:$A$205,0)),"")))</f>
        <v/>
      </c>
      <c r="W37" s="38">
        <f>IF($A37="","",IF($P37="","",IFERROR(INDEX('Opportunities'!$I$6:$I$205,MATCH($P37,'Opportunities'!$A$6:$A$205,0)),"")))</f>
        <v/>
      </c>
      <c r="X37" s="38">
        <f>IF($A37="","",IF($P37="","",IFERROR(INDEX('Opportunities'!$J$6:$J$205,MATCH($P37,'Opportunities'!$A$6:$A$205,0)),"")))</f>
        <v/>
      </c>
      <c r="Y37" s="70">
        <f>IF($A37="","",IF($P37="","",IFERROR(INDEX('Opportunities'!$K$6:$K$205,MATCH($P37,'Opportunities'!$A$6:$A$205,0)),"")))</f>
        <v/>
      </c>
      <c r="Z37" s="41">
        <f>IF($A37="","",IF($P37="","",IFERROR(INDEX('Opportunities'!$O$6:$O$205,MATCH($P37,'Opportunities'!$A$6:$A$205,0)),"")))</f>
        <v/>
      </c>
      <c r="AA37" s="41">
        <f>IF($A37="","",IF($P37="","",IFERROR(INDEX('Opportunities'!$P$6:$P$205,MATCH($P37,'Opportunities'!$A$6:$A$205,0)),"")))</f>
        <v/>
      </c>
      <c r="AB37" s="41">
        <f>IF($A37="","",IF($P37="","",IFERROR(INDEX('Opportunities'!$Q$6:$Q$205,MATCH($P37,'Opportunities'!$A$6:$A$205,0)),"")))</f>
        <v/>
      </c>
      <c r="AC37" s="71">
        <f>IF($A37="","",IF($P37="","",IFERROR(INDEX('Opportunities'!$Z$6:$Z$205,MATCH($P37,'Opportunities'!$A$6:$A$205,0)),"")))</f>
        <v/>
      </c>
      <c r="AD37" s="71">
        <f>IF($A37="","",IF($P37="","",IFERROR(INDEX('Opportunities'!$AJ$6:$AJ$205,MATCH($P37,'Opportunities'!$A$6:$A$205,0)),"")))</f>
        <v/>
      </c>
      <c r="AE37" s="72">
        <f>IF($A37="","",IF($P37="","",IFERROR(INDEX('Opportunities'!$AA$6:$AA$205,MATCH($P37,'Opportunities'!$A$6:$A$205,0)),"")))</f>
        <v/>
      </c>
      <c r="AF37" s="73">
        <f>IF($A37="","",IF($P37="","",IFERROR(INDEX('Opportunities'!$AF$6:$AF$205,MATCH($P37,'Opportunities'!$A$6:$A$205,0)),"")))</f>
        <v/>
      </c>
      <c r="AG37" s="41">
        <f>IF($A37="","",IF($P37="","",IFERROR(INDEX('Opportunities'!$AB$6:$AB$205,MATCH($P37,'Opportunities'!$A$6:$A$205,0)),"")))</f>
        <v/>
      </c>
      <c r="AH37" s="74">
        <f>IF($A37="","",IF($P37="","",IFERROR(($U37+$V37-$J37-$K37)*24,0)))</f>
        <v/>
      </c>
      <c r="AI37" s="38">
        <f>IF($A37="","",IF($P37="","No load selected",IF($AH37&lt;IFERROR($Z37/'Settings'!$B$11,0)+'Settings'!$B$12,"Too tight",IF($AH37&gt;'Settings'!$B$13,"Long wait","Feasible"))))</f>
        <v/>
      </c>
      <c r="AJ37" s="41">
        <f>IF($A37="","",IF($P37="","",$N37-$Z37-$AB37))</f>
        <v/>
      </c>
      <c r="AK37" s="38">
        <f>IF($A37="","",IF(COUNTIF($A$6:$A$205,$A37)&gt;1,"Duplicate Trip ID",IF($P37="","Open",IF(COUNTIF('Opportunities'!$A$6:$A$205,$P37)=0,"Load ID not found",IF(COUNTIFS('Opportunities'!$A$6:$A$205,$P37,'Opportunities'!$B$6:$B$205,$A37)=0,"Trip mismatch",IF(COUNTIF($P$6:$P$205,$P37)&gt;1,"Duplicate selection",IF(AND(OR($O37="Booked",$O37="Completed"),AND($Q37&lt;&gt;"Booked",$Q37&lt;&gt;"Completed")),"Status mismatch","OK")))))))</f>
        <v/>
      </c>
      <c r="AL37" s="46" t="n"/>
    </row>
    <row r="38">
      <c r="A38" s="34" t="n"/>
      <c r="B38" s="34" t="n"/>
      <c r="C38" s="34" t="n"/>
      <c r="D38" s="34" t="n"/>
      <c r="E38" s="34" t="n"/>
      <c r="F38" s="34" t="n"/>
      <c r="G38" s="34" t="n"/>
      <c r="H38" s="69" t="n"/>
      <c r="I38" s="36" t="n"/>
      <c r="J38" s="69" t="n"/>
      <c r="K38" s="36" t="n"/>
      <c r="L38" s="34" t="n"/>
      <c r="M38" s="34" t="n"/>
      <c r="N38" s="37" t="n"/>
      <c r="O38" s="34" t="n"/>
      <c r="P38" s="34" t="n"/>
      <c r="Q38" s="38">
        <f>IF($A38="","",IF($P38="","",IFERROR(INDEX('Opportunities'!$C$6:$C$205,MATCH($P38,'Opportunities'!$A$6:$A$205,0)),"")))</f>
        <v/>
      </c>
      <c r="R38" s="38">
        <f>IF($A38="","",IF($P38="","",IFERROR(INDEX('Opportunities'!$D$6:$D$205,MATCH($P38,'Opportunities'!$A$6:$A$205,0)),"")))</f>
        <v/>
      </c>
      <c r="S38" s="38">
        <f>IF($A38="","",IF($P38="","",IFERROR(INDEX('Opportunities'!$E$6:$E$205,MATCH($P38,'Opportunities'!$A$6:$A$205,0)),"")))</f>
        <v/>
      </c>
      <c r="T38" s="38">
        <f>IF($A38="","",IF($P38="","",IFERROR(INDEX('Opportunities'!$F$6:$F$205,MATCH($P38,'Opportunities'!$A$6:$A$205,0)),"")))</f>
        <v/>
      </c>
      <c r="U38" s="70">
        <f>IF($A38="","",IF($P38="","",IFERROR(INDEX('Opportunities'!$G$6:$G$205,MATCH($P38,'Opportunities'!$A$6:$A$205,0)),"")))</f>
        <v/>
      </c>
      <c r="V38" s="40">
        <f>IF($A38="","",IF($P38="","",IFERROR(INDEX('Opportunities'!$H$6:$H$205,MATCH($P38,'Opportunities'!$A$6:$A$205,0)),"")))</f>
        <v/>
      </c>
      <c r="W38" s="38">
        <f>IF($A38="","",IF($P38="","",IFERROR(INDEX('Opportunities'!$I$6:$I$205,MATCH($P38,'Opportunities'!$A$6:$A$205,0)),"")))</f>
        <v/>
      </c>
      <c r="X38" s="38">
        <f>IF($A38="","",IF($P38="","",IFERROR(INDEX('Opportunities'!$J$6:$J$205,MATCH($P38,'Opportunities'!$A$6:$A$205,0)),"")))</f>
        <v/>
      </c>
      <c r="Y38" s="70">
        <f>IF($A38="","",IF($P38="","",IFERROR(INDEX('Opportunities'!$K$6:$K$205,MATCH($P38,'Opportunities'!$A$6:$A$205,0)),"")))</f>
        <v/>
      </c>
      <c r="Z38" s="41">
        <f>IF($A38="","",IF($P38="","",IFERROR(INDEX('Opportunities'!$O$6:$O$205,MATCH($P38,'Opportunities'!$A$6:$A$205,0)),"")))</f>
        <v/>
      </c>
      <c r="AA38" s="41">
        <f>IF($A38="","",IF($P38="","",IFERROR(INDEX('Opportunities'!$P$6:$P$205,MATCH($P38,'Opportunities'!$A$6:$A$205,0)),"")))</f>
        <v/>
      </c>
      <c r="AB38" s="41">
        <f>IF($A38="","",IF($P38="","",IFERROR(INDEX('Opportunities'!$Q$6:$Q$205,MATCH($P38,'Opportunities'!$A$6:$A$205,0)),"")))</f>
        <v/>
      </c>
      <c r="AC38" s="71">
        <f>IF($A38="","",IF($P38="","",IFERROR(INDEX('Opportunities'!$Z$6:$Z$205,MATCH($P38,'Opportunities'!$A$6:$A$205,0)),"")))</f>
        <v/>
      </c>
      <c r="AD38" s="71">
        <f>IF($A38="","",IF($P38="","",IFERROR(INDEX('Opportunities'!$AJ$6:$AJ$205,MATCH($P38,'Opportunities'!$A$6:$A$205,0)),"")))</f>
        <v/>
      </c>
      <c r="AE38" s="72">
        <f>IF($A38="","",IF($P38="","",IFERROR(INDEX('Opportunities'!$AA$6:$AA$205,MATCH($P38,'Opportunities'!$A$6:$A$205,0)),"")))</f>
        <v/>
      </c>
      <c r="AF38" s="73">
        <f>IF($A38="","",IF($P38="","",IFERROR(INDEX('Opportunities'!$AF$6:$AF$205,MATCH($P38,'Opportunities'!$A$6:$A$205,0)),"")))</f>
        <v/>
      </c>
      <c r="AG38" s="41">
        <f>IF($A38="","",IF($P38="","",IFERROR(INDEX('Opportunities'!$AB$6:$AB$205,MATCH($P38,'Opportunities'!$A$6:$A$205,0)),"")))</f>
        <v/>
      </c>
      <c r="AH38" s="74">
        <f>IF($A38="","",IF($P38="","",IFERROR(($U38+$V38-$J38-$K38)*24,0)))</f>
        <v/>
      </c>
      <c r="AI38" s="38">
        <f>IF($A38="","",IF($P38="","No load selected",IF($AH38&lt;IFERROR($Z38/'Settings'!$B$11,0)+'Settings'!$B$12,"Too tight",IF($AH38&gt;'Settings'!$B$13,"Long wait","Feasible"))))</f>
        <v/>
      </c>
      <c r="AJ38" s="41">
        <f>IF($A38="","",IF($P38="","",$N38-$Z38-$AB38))</f>
        <v/>
      </c>
      <c r="AK38" s="38">
        <f>IF($A38="","",IF(COUNTIF($A$6:$A$205,$A38)&gt;1,"Duplicate Trip ID",IF($P38="","Open",IF(COUNTIF('Opportunities'!$A$6:$A$205,$P38)=0,"Load ID not found",IF(COUNTIFS('Opportunities'!$A$6:$A$205,$P38,'Opportunities'!$B$6:$B$205,$A38)=0,"Trip mismatch",IF(COUNTIF($P$6:$P$205,$P38)&gt;1,"Duplicate selection",IF(AND(OR($O38="Booked",$O38="Completed"),AND($Q38&lt;&gt;"Booked",$Q38&lt;&gt;"Completed")),"Status mismatch","OK")))))))</f>
        <v/>
      </c>
      <c r="AL38" s="46" t="n"/>
    </row>
    <row r="39">
      <c r="A39" s="34" t="n"/>
      <c r="B39" s="34" t="n"/>
      <c r="C39" s="34" t="n"/>
      <c r="D39" s="34" t="n"/>
      <c r="E39" s="34" t="n"/>
      <c r="F39" s="34" t="n"/>
      <c r="G39" s="34" t="n"/>
      <c r="H39" s="69" t="n"/>
      <c r="I39" s="36" t="n"/>
      <c r="J39" s="69" t="n"/>
      <c r="K39" s="36" t="n"/>
      <c r="L39" s="34" t="n"/>
      <c r="M39" s="34" t="n"/>
      <c r="N39" s="37" t="n"/>
      <c r="O39" s="34" t="n"/>
      <c r="P39" s="34" t="n"/>
      <c r="Q39" s="38">
        <f>IF($A39="","",IF($P39="","",IFERROR(INDEX('Opportunities'!$C$6:$C$205,MATCH($P39,'Opportunities'!$A$6:$A$205,0)),"")))</f>
        <v/>
      </c>
      <c r="R39" s="38">
        <f>IF($A39="","",IF($P39="","",IFERROR(INDEX('Opportunities'!$D$6:$D$205,MATCH($P39,'Opportunities'!$A$6:$A$205,0)),"")))</f>
        <v/>
      </c>
      <c r="S39" s="38">
        <f>IF($A39="","",IF($P39="","",IFERROR(INDEX('Opportunities'!$E$6:$E$205,MATCH($P39,'Opportunities'!$A$6:$A$205,0)),"")))</f>
        <v/>
      </c>
      <c r="T39" s="38">
        <f>IF($A39="","",IF($P39="","",IFERROR(INDEX('Opportunities'!$F$6:$F$205,MATCH($P39,'Opportunities'!$A$6:$A$205,0)),"")))</f>
        <v/>
      </c>
      <c r="U39" s="70">
        <f>IF($A39="","",IF($P39="","",IFERROR(INDEX('Opportunities'!$G$6:$G$205,MATCH($P39,'Opportunities'!$A$6:$A$205,0)),"")))</f>
        <v/>
      </c>
      <c r="V39" s="40">
        <f>IF($A39="","",IF($P39="","",IFERROR(INDEX('Opportunities'!$H$6:$H$205,MATCH($P39,'Opportunities'!$A$6:$A$205,0)),"")))</f>
        <v/>
      </c>
      <c r="W39" s="38">
        <f>IF($A39="","",IF($P39="","",IFERROR(INDEX('Opportunities'!$I$6:$I$205,MATCH($P39,'Opportunities'!$A$6:$A$205,0)),"")))</f>
        <v/>
      </c>
      <c r="X39" s="38">
        <f>IF($A39="","",IF($P39="","",IFERROR(INDEX('Opportunities'!$J$6:$J$205,MATCH($P39,'Opportunities'!$A$6:$A$205,0)),"")))</f>
        <v/>
      </c>
      <c r="Y39" s="70">
        <f>IF($A39="","",IF($P39="","",IFERROR(INDEX('Opportunities'!$K$6:$K$205,MATCH($P39,'Opportunities'!$A$6:$A$205,0)),"")))</f>
        <v/>
      </c>
      <c r="Z39" s="41">
        <f>IF($A39="","",IF($P39="","",IFERROR(INDEX('Opportunities'!$O$6:$O$205,MATCH($P39,'Opportunities'!$A$6:$A$205,0)),"")))</f>
        <v/>
      </c>
      <c r="AA39" s="41">
        <f>IF($A39="","",IF($P39="","",IFERROR(INDEX('Opportunities'!$P$6:$P$205,MATCH($P39,'Opportunities'!$A$6:$A$205,0)),"")))</f>
        <v/>
      </c>
      <c r="AB39" s="41">
        <f>IF($A39="","",IF($P39="","",IFERROR(INDEX('Opportunities'!$Q$6:$Q$205,MATCH($P39,'Opportunities'!$A$6:$A$205,0)),"")))</f>
        <v/>
      </c>
      <c r="AC39" s="71">
        <f>IF($A39="","",IF($P39="","",IFERROR(INDEX('Opportunities'!$Z$6:$Z$205,MATCH($P39,'Opportunities'!$A$6:$A$205,0)),"")))</f>
        <v/>
      </c>
      <c r="AD39" s="71">
        <f>IF($A39="","",IF($P39="","",IFERROR(INDEX('Opportunities'!$AJ$6:$AJ$205,MATCH($P39,'Opportunities'!$A$6:$A$205,0)),"")))</f>
        <v/>
      </c>
      <c r="AE39" s="72">
        <f>IF($A39="","",IF($P39="","",IFERROR(INDEX('Opportunities'!$AA$6:$AA$205,MATCH($P39,'Opportunities'!$A$6:$A$205,0)),"")))</f>
        <v/>
      </c>
      <c r="AF39" s="73">
        <f>IF($A39="","",IF($P39="","",IFERROR(INDEX('Opportunities'!$AF$6:$AF$205,MATCH($P39,'Opportunities'!$A$6:$A$205,0)),"")))</f>
        <v/>
      </c>
      <c r="AG39" s="41">
        <f>IF($A39="","",IF($P39="","",IFERROR(INDEX('Opportunities'!$AB$6:$AB$205,MATCH($P39,'Opportunities'!$A$6:$A$205,0)),"")))</f>
        <v/>
      </c>
      <c r="AH39" s="74">
        <f>IF($A39="","",IF($P39="","",IFERROR(($U39+$V39-$J39-$K39)*24,0)))</f>
        <v/>
      </c>
      <c r="AI39" s="38">
        <f>IF($A39="","",IF($P39="","No load selected",IF($AH39&lt;IFERROR($Z39/'Settings'!$B$11,0)+'Settings'!$B$12,"Too tight",IF($AH39&gt;'Settings'!$B$13,"Long wait","Feasible"))))</f>
        <v/>
      </c>
      <c r="AJ39" s="41">
        <f>IF($A39="","",IF($P39="","",$N39-$Z39-$AB39))</f>
        <v/>
      </c>
      <c r="AK39" s="38">
        <f>IF($A39="","",IF(COUNTIF($A$6:$A$205,$A39)&gt;1,"Duplicate Trip ID",IF($P39="","Open",IF(COUNTIF('Opportunities'!$A$6:$A$205,$P39)=0,"Load ID not found",IF(COUNTIFS('Opportunities'!$A$6:$A$205,$P39,'Opportunities'!$B$6:$B$205,$A39)=0,"Trip mismatch",IF(COUNTIF($P$6:$P$205,$P39)&gt;1,"Duplicate selection",IF(AND(OR($O39="Booked",$O39="Completed"),AND($Q39&lt;&gt;"Booked",$Q39&lt;&gt;"Completed")),"Status mismatch","OK")))))))</f>
        <v/>
      </c>
      <c r="AL39" s="46" t="n"/>
    </row>
    <row r="40">
      <c r="A40" s="34" t="n"/>
      <c r="B40" s="34" t="n"/>
      <c r="C40" s="34" t="n"/>
      <c r="D40" s="34" t="n"/>
      <c r="E40" s="34" t="n"/>
      <c r="F40" s="34" t="n"/>
      <c r="G40" s="34" t="n"/>
      <c r="H40" s="69" t="n"/>
      <c r="I40" s="36" t="n"/>
      <c r="J40" s="69" t="n"/>
      <c r="K40" s="36" t="n"/>
      <c r="L40" s="34" t="n"/>
      <c r="M40" s="34" t="n"/>
      <c r="N40" s="37" t="n"/>
      <c r="O40" s="34" t="n"/>
      <c r="P40" s="34" t="n"/>
      <c r="Q40" s="38">
        <f>IF($A40="","",IF($P40="","",IFERROR(INDEX('Opportunities'!$C$6:$C$205,MATCH($P40,'Opportunities'!$A$6:$A$205,0)),"")))</f>
        <v/>
      </c>
      <c r="R40" s="38">
        <f>IF($A40="","",IF($P40="","",IFERROR(INDEX('Opportunities'!$D$6:$D$205,MATCH($P40,'Opportunities'!$A$6:$A$205,0)),"")))</f>
        <v/>
      </c>
      <c r="S40" s="38">
        <f>IF($A40="","",IF($P40="","",IFERROR(INDEX('Opportunities'!$E$6:$E$205,MATCH($P40,'Opportunities'!$A$6:$A$205,0)),"")))</f>
        <v/>
      </c>
      <c r="T40" s="38">
        <f>IF($A40="","",IF($P40="","",IFERROR(INDEX('Opportunities'!$F$6:$F$205,MATCH($P40,'Opportunities'!$A$6:$A$205,0)),"")))</f>
        <v/>
      </c>
      <c r="U40" s="70">
        <f>IF($A40="","",IF($P40="","",IFERROR(INDEX('Opportunities'!$G$6:$G$205,MATCH($P40,'Opportunities'!$A$6:$A$205,0)),"")))</f>
        <v/>
      </c>
      <c r="V40" s="40">
        <f>IF($A40="","",IF($P40="","",IFERROR(INDEX('Opportunities'!$H$6:$H$205,MATCH($P40,'Opportunities'!$A$6:$A$205,0)),"")))</f>
        <v/>
      </c>
      <c r="W40" s="38">
        <f>IF($A40="","",IF($P40="","",IFERROR(INDEX('Opportunities'!$I$6:$I$205,MATCH($P40,'Opportunities'!$A$6:$A$205,0)),"")))</f>
        <v/>
      </c>
      <c r="X40" s="38">
        <f>IF($A40="","",IF($P40="","",IFERROR(INDEX('Opportunities'!$J$6:$J$205,MATCH($P40,'Opportunities'!$A$6:$A$205,0)),"")))</f>
        <v/>
      </c>
      <c r="Y40" s="70">
        <f>IF($A40="","",IF($P40="","",IFERROR(INDEX('Opportunities'!$K$6:$K$205,MATCH($P40,'Opportunities'!$A$6:$A$205,0)),"")))</f>
        <v/>
      </c>
      <c r="Z40" s="41">
        <f>IF($A40="","",IF($P40="","",IFERROR(INDEX('Opportunities'!$O$6:$O$205,MATCH($P40,'Opportunities'!$A$6:$A$205,0)),"")))</f>
        <v/>
      </c>
      <c r="AA40" s="41">
        <f>IF($A40="","",IF($P40="","",IFERROR(INDEX('Opportunities'!$P$6:$P$205,MATCH($P40,'Opportunities'!$A$6:$A$205,0)),"")))</f>
        <v/>
      </c>
      <c r="AB40" s="41">
        <f>IF($A40="","",IF($P40="","",IFERROR(INDEX('Opportunities'!$Q$6:$Q$205,MATCH($P40,'Opportunities'!$A$6:$A$205,0)),"")))</f>
        <v/>
      </c>
      <c r="AC40" s="71">
        <f>IF($A40="","",IF($P40="","",IFERROR(INDEX('Opportunities'!$Z$6:$Z$205,MATCH($P40,'Opportunities'!$A$6:$A$205,0)),"")))</f>
        <v/>
      </c>
      <c r="AD40" s="71">
        <f>IF($A40="","",IF($P40="","",IFERROR(INDEX('Opportunities'!$AJ$6:$AJ$205,MATCH($P40,'Opportunities'!$A$6:$A$205,0)),"")))</f>
        <v/>
      </c>
      <c r="AE40" s="72">
        <f>IF($A40="","",IF($P40="","",IFERROR(INDEX('Opportunities'!$AA$6:$AA$205,MATCH($P40,'Opportunities'!$A$6:$A$205,0)),"")))</f>
        <v/>
      </c>
      <c r="AF40" s="73">
        <f>IF($A40="","",IF($P40="","",IFERROR(INDEX('Opportunities'!$AF$6:$AF$205,MATCH($P40,'Opportunities'!$A$6:$A$205,0)),"")))</f>
        <v/>
      </c>
      <c r="AG40" s="41">
        <f>IF($A40="","",IF($P40="","",IFERROR(INDEX('Opportunities'!$AB$6:$AB$205,MATCH($P40,'Opportunities'!$A$6:$A$205,0)),"")))</f>
        <v/>
      </c>
      <c r="AH40" s="74">
        <f>IF($A40="","",IF($P40="","",IFERROR(($U40+$V40-$J40-$K40)*24,0)))</f>
        <v/>
      </c>
      <c r="AI40" s="38">
        <f>IF($A40="","",IF($P40="","No load selected",IF($AH40&lt;IFERROR($Z40/'Settings'!$B$11,0)+'Settings'!$B$12,"Too tight",IF($AH40&gt;'Settings'!$B$13,"Long wait","Feasible"))))</f>
        <v/>
      </c>
      <c r="AJ40" s="41">
        <f>IF($A40="","",IF($P40="","",$N40-$Z40-$AB40))</f>
        <v/>
      </c>
      <c r="AK40" s="38">
        <f>IF($A40="","",IF(COUNTIF($A$6:$A$205,$A40)&gt;1,"Duplicate Trip ID",IF($P40="","Open",IF(COUNTIF('Opportunities'!$A$6:$A$205,$P40)=0,"Load ID not found",IF(COUNTIFS('Opportunities'!$A$6:$A$205,$P40,'Opportunities'!$B$6:$B$205,$A40)=0,"Trip mismatch",IF(COUNTIF($P$6:$P$205,$P40)&gt;1,"Duplicate selection",IF(AND(OR($O40="Booked",$O40="Completed"),AND($Q40&lt;&gt;"Booked",$Q40&lt;&gt;"Completed")),"Status mismatch","OK")))))))</f>
        <v/>
      </c>
      <c r="AL40" s="46" t="n"/>
    </row>
    <row r="41">
      <c r="A41" s="34" t="n"/>
      <c r="B41" s="34" t="n"/>
      <c r="C41" s="34" t="n"/>
      <c r="D41" s="34" t="n"/>
      <c r="E41" s="34" t="n"/>
      <c r="F41" s="34" t="n"/>
      <c r="G41" s="34" t="n"/>
      <c r="H41" s="69" t="n"/>
      <c r="I41" s="36" t="n"/>
      <c r="J41" s="69" t="n"/>
      <c r="K41" s="36" t="n"/>
      <c r="L41" s="34" t="n"/>
      <c r="M41" s="34" t="n"/>
      <c r="N41" s="37" t="n"/>
      <c r="O41" s="34" t="n"/>
      <c r="P41" s="34" t="n"/>
      <c r="Q41" s="38">
        <f>IF($A41="","",IF($P41="","",IFERROR(INDEX('Opportunities'!$C$6:$C$205,MATCH($P41,'Opportunities'!$A$6:$A$205,0)),"")))</f>
        <v/>
      </c>
      <c r="R41" s="38">
        <f>IF($A41="","",IF($P41="","",IFERROR(INDEX('Opportunities'!$D$6:$D$205,MATCH($P41,'Opportunities'!$A$6:$A$205,0)),"")))</f>
        <v/>
      </c>
      <c r="S41" s="38">
        <f>IF($A41="","",IF($P41="","",IFERROR(INDEX('Opportunities'!$E$6:$E$205,MATCH($P41,'Opportunities'!$A$6:$A$205,0)),"")))</f>
        <v/>
      </c>
      <c r="T41" s="38">
        <f>IF($A41="","",IF($P41="","",IFERROR(INDEX('Opportunities'!$F$6:$F$205,MATCH($P41,'Opportunities'!$A$6:$A$205,0)),"")))</f>
        <v/>
      </c>
      <c r="U41" s="70">
        <f>IF($A41="","",IF($P41="","",IFERROR(INDEX('Opportunities'!$G$6:$G$205,MATCH($P41,'Opportunities'!$A$6:$A$205,0)),"")))</f>
        <v/>
      </c>
      <c r="V41" s="40">
        <f>IF($A41="","",IF($P41="","",IFERROR(INDEX('Opportunities'!$H$6:$H$205,MATCH($P41,'Opportunities'!$A$6:$A$205,0)),"")))</f>
        <v/>
      </c>
      <c r="W41" s="38">
        <f>IF($A41="","",IF($P41="","",IFERROR(INDEX('Opportunities'!$I$6:$I$205,MATCH($P41,'Opportunities'!$A$6:$A$205,0)),"")))</f>
        <v/>
      </c>
      <c r="X41" s="38">
        <f>IF($A41="","",IF($P41="","",IFERROR(INDEX('Opportunities'!$J$6:$J$205,MATCH($P41,'Opportunities'!$A$6:$A$205,0)),"")))</f>
        <v/>
      </c>
      <c r="Y41" s="70">
        <f>IF($A41="","",IF($P41="","",IFERROR(INDEX('Opportunities'!$K$6:$K$205,MATCH($P41,'Opportunities'!$A$6:$A$205,0)),"")))</f>
        <v/>
      </c>
      <c r="Z41" s="41">
        <f>IF($A41="","",IF($P41="","",IFERROR(INDEX('Opportunities'!$O$6:$O$205,MATCH($P41,'Opportunities'!$A$6:$A$205,0)),"")))</f>
        <v/>
      </c>
      <c r="AA41" s="41">
        <f>IF($A41="","",IF($P41="","",IFERROR(INDEX('Opportunities'!$P$6:$P$205,MATCH($P41,'Opportunities'!$A$6:$A$205,0)),"")))</f>
        <v/>
      </c>
      <c r="AB41" s="41">
        <f>IF($A41="","",IF($P41="","",IFERROR(INDEX('Opportunities'!$Q$6:$Q$205,MATCH($P41,'Opportunities'!$A$6:$A$205,0)),"")))</f>
        <v/>
      </c>
      <c r="AC41" s="71">
        <f>IF($A41="","",IF($P41="","",IFERROR(INDEX('Opportunities'!$Z$6:$Z$205,MATCH($P41,'Opportunities'!$A$6:$A$205,0)),"")))</f>
        <v/>
      </c>
      <c r="AD41" s="71">
        <f>IF($A41="","",IF($P41="","",IFERROR(INDEX('Opportunities'!$AJ$6:$AJ$205,MATCH($P41,'Opportunities'!$A$6:$A$205,0)),"")))</f>
        <v/>
      </c>
      <c r="AE41" s="72">
        <f>IF($A41="","",IF($P41="","",IFERROR(INDEX('Opportunities'!$AA$6:$AA$205,MATCH($P41,'Opportunities'!$A$6:$A$205,0)),"")))</f>
        <v/>
      </c>
      <c r="AF41" s="73">
        <f>IF($A41="","",IF($P41="","",IFERROR(INDEX('Opportunities'!$AF$6:$AF$205,MATCH($P41,'Opportunities'!$A$6:$A$205,0)),"")))</f>
        <v/>
      </c>
      <c r="AG41" s="41">
        <f>IF($A41="","",IF($P41="","",IFERROR(INDEX('Opportunities'!$AB$6:$AB$205,MATCH($P41,'Opportunities'!$A$6:$A$205,0)),"")))</f>
        <v/>
      </c>
      <c r="AH41" s="74">
        <f>IF($A41="","",IF($P41="","",IFERROR(($U41+$V41-$J41-$K41)*24,0)))</f>
        <v/>
      </c>
      <c r="AI41" s="38">
        <f>IF($A41="","",IF($P41="","No load selected",IF($AH41&lt;IFERROR($Z41/'Settings'!$B$11,0)+'Settings'!$B$12,"Too tight",IF($AH41&gt;'Settings'!$B$13,"Long wait","Feasible"))))</f>
        <v/>
      </c>
      <c r="AJ41" s="41">
        <f>IF($A41="","",IF($P41="","",$N41-$Z41-$AB41))</f>
        <v/>
      </c>
      <c r="AK41" s="38">
        <f>IF($A41="","",IF(COUNTIF($A$6:$A$205,$A41)&gt;1,"Duplicate Trip ID",IF($P41="","Open",IF(COUNTIF('Opportunities'!$A$6:$A$205,$P41)=0,"Load ID not found",IF(COUNTIFS('Opportunities'!$A$6:$A$205,$P41,'Opportunities'!$B$6:$B$205,$A41)=0,"Trip mismatch",IF(COUNTIF($P$6:$P$205,$P41)&gt;1,"Duplicate selection",IF(AND(OR($O41="Booked",$O41="Completed"),AND($Q41&lt;&gt;"Booked",$Q41&lt;&gt;"Completed")),"Status mismatch","OK")))))))</f>
        <v/>
      </c>
      <c r="AL41" s="46" t="n"/>
    </row>
    <row r="42">
      <c r="A42" s="34" t="n"/>
      <c r="B42" s="34" t="n"/>
      <c r="C42" s="34" t="n"/>
      <c r="D42" s="34" t="n"/>
      <c r="E42" s="34" t="n"/>
      <c r="F42" s="34" t="n"/>
      <c r="G42" s="34" t="n"/>
      <c r="H42" s="69" t="n"/>
      <c r="I42" s="36" t="n"/>
      <c r="J42" s="69" t="n"/>
      <c r="K42" s="36" t="n"/>
      <c r="L42" s="34" t="n"/>
      <c r="M42" s="34" t="n"/>
      <c r="N42" s="37" t="n"/>
      <c r="O42" s="34" t="n"/>
      <c r="P42" s="34" t="n"/>
      <c r="Q42" s="38">
        <f>IF($A42="","",IF($P42="","",IFERROR(INDEX('Opportunities'!$C$6:$C$205,MATCH($P42,'Opportunities'!$A$6:$A$205,0)),"")))</f>
        <v/>
      </c>
      <c r="R42" s="38">
        <f>IF($A42="","",IF($P42="","",IFERROR(INDEX('Opportunities'!$D$6:$D$205,MATCH($P42,'Opportunities'!$A$6:$A$205,0)),"")))</f>
        <v/>
      </c>
      <c r="S42" s="38">
        <f>IF($A42="","",IF($P42="","",IFERROR(INDEX('Opportunities'!$E$6:$E$205,MATCH($P42,'Opportunities'!$A$6:$A$205,0)),"")))</f>
        <v/>
      </c>
      <c r="T42" s="38">
        <f>IF($A42="","",IF($P42="","",IFERROR(INDEX('Opportunities'!$F$6:$F$205,MATCH($P42,'Opportunities'!$A$6:$A$205,0)),"")))</f>
        <v/>
      </c>
      <c r="U42" s="70">
        <f>IF($A42="","",IF($P42="","",IFERROR(INDEX('Opportunities'!$G$6:$G$205,MATCH($P42,'Opportunities'!$A$6:$A$205,0)),"")))</f>
        <v/>
      </c>
      <c r="V42" s="40">
        <f>IF($A42="","",IF($P42="","",IFERROR(INDEX('Opportunities'!$H$6:$H$205,MATCH($P42,'Opportunities'!$A$6:$A$205,0)),"")))</f>
        <v/>
      </c>
      <c r="W42" s="38">
        <f>IF($A42="","",IF($P42="","",IFERROR(INDEX('Opportunities'!$I$6:$I$205,MATCH($P42,'Opportunities'!$A$6:$A$205,0)),"")))</f>
        <v/>
      </c>
      <c r="X42" s="38">
        <f>IF($A42="","",IF($P42="","",IFERROR(INDEX('Opportunities'!$J$6:$J$205,MATCH($P42,'Opportunities'!$A$6:$A$205,0)),"")))</f>
        <v/>
      </c>
      <c r="Y42" s="70">
        <f>IF($A42="","",IF($P42="","",IFERROR(INDEX('Opportunities'!$K$6:$K$205,MATCH($P42,'Opportunities'!$A$6:$A$205,0)),"")))</f>
        <v/>
      </c>
      <c r="Z42" s="41">
        <f>IF($A42="","",IF($P42="","",IFERROR(INDEX('Opportunities'!$O$6:$O$205,MATCH($P42,'Opportunities'!$A$6:$A$205,0)),"")))</f>
        <v/>
      </c>
      <c r="AA42" s="41">
        <f>IF($A42="","",IF($P42="","",IFERROR(INDEX('Opportunities'!$P$6:$P$205,MATCH($P42,'Opportunities'!$A$6:$A$205,0)),"")))</f>
        <v/>
      </c>
      <c r="AB42" s="41">
        <f>IF($A42="","",IF($P42="","",IFERROR(INDEX('Opportunities'!$Q$6:$Q$205,MATCH($P42,'Opportunities'!$A$6:$A$205,0)),"")))</f>
        <v/>
      </c>
      <c r="AC42" s="71">
        <f>IF($A42="","",IF($P42="","",IFERROR(INDEX('Opportunities'!$Z$6:$Z$205,MATCH($P42,'Opportunities'!$A$6:$A$205,0)),"")))</f>
        <v/>
      </c>
      <c r="AD42" s="71">
        <f>IF($A42="","",IF($P42="","",IFERROR(INDEX('Opportunities'!$AJ$6:$AJ$205,MATCH($P42,'Opportunities'!$A$6:$A$205,0)),"")))</f>
        <v/>
      </c>
      <c r="AE42" s="72">
        <f>IF($A42="","",IF($P42="","",IFERROR(INDEX('Opportunities'!$AA$6:$AA$205,MATCH($P42,'Opportunities'!$A$6:$A$205,0)),"")))</f>
        <v/>
      </c>
      <c r="AF42" s="73">
        <f>IF($A42="","",IF($P42="","",IFERROR(INDEX('Opportunities'!$AF$6:$AF$205,MATCH($P42,'Opportunities'!$A$6:$A$205,0)),"")))</f>
        <v/>
      </c>
      <c r="AG42" s="41">
        <f>IF($A42="","",IF($P42="","",IFERROR(INDEX('Opportunities'!$AB$6:$AB$205,MATCH($P42,'Opportunities'!$A$6:$A$205,0)),"")))</f>
        <v/>
      </c>
      <c r="AH42" s="74">
        <f>IF($A42="","",IF($P42="","",IFERROR(($U42+$V42-$J42-$K42)*24,0)))</f>
        <v/>
      </c>
      <c r="AI42" s="38">
        <f>IF($A42="","",IF($P42="","No load selected",IF($AH42&lt;IFERROR($Z42/'Settings'!$B$11,0)+'Settings'!$B$12,"Too tight",IF($AH42&gt;'Settings'!$B$13,"Long wait","Feasible"))))</f>
        <v/>
      </c>
      <c r="AJ42" s="41">
        <f>IF($A42="","",IF($P42="","",$N42-$Z42-$AB42))</f>
        <v/>
      </c>
      <c r="AK42" s="38">
        <f>IF($A42="","",IF(COUNTIF($A$6:$A$205,$A42)&gt;1,"Duplicate Trip ID",IF($P42="","Open",IF(COUNTIF('Opportunities'!$A$6:$A$205,$P42)=0,"Load ID not found",IF(COUNTIFS('Opportunities'!$A$6:$A$205,$P42,'Opportunities'!$B$6:$B$205,$A42)=0,"Trip mismatch",IF(COUNTIF($P$6:$P$205,$P42)&gt;1,"Duplicate selection",IF(AND(OR($O42="Booked",$O42="Completed"),AND($Q42&lt;&gt;"Booked",$Q42&lt;&gt;"Completed")),"Status mismatch","OK")))))))</f>
        <v/>
      </c>
      <c r="AL42" s="46" t="n"/>
    </row>
    <row r="43">
      <c r="A43" s="34" t="n"/>
      <c r="B43" s="34" t="n"/>
      <c r="C43" s="34" t="n"/>
      <c r="D43" s="34" t="n"/>
      <c r="E43" s="34" t="n"/>
      <c r="F43" s="34" t="n"/>
      <c r="G43" s="34" t="n"/>
      <c r="H43" s="69" t="n"/>
      <c r="I43" s="36" t="n"/>
      <c r="J43" s="69" t="n"/>
      <c r="K43" s="36" t="n"/>
      <c r="L43" s="34" t="n"/>
      <c r="M43" s="34" t="n"/>
      <c r="N43" s="37" t="n"/>
      <c r="O43" s="34" t="n"/>
      <c r="P43" s="34" t="n"/>
      <c r="Q43" s="38">
        <f>IF($A43="","",IF($P43="","",IFERROR(INDEX('Opportunities'!$C$6:$C$205,MATCH($P43,'Opportunities'!$A$6:$A$205,0)),"")))</f>
        <v/>
      </c>
      <c r="R43" s="38">
        <f>IF($A43="","",IF($P43="","",IFERROR(INDEX('Opportunities'!$D$6:$D$205,MATCH($P43,'Opportunities'!$A$6:$A$205,0)),"")))</f>
        <v/>
      </c>
      <c r="S43" s="38">
        <f>IF($A43="","",IF($P43="","",IFERROR(INDEX('Opportunities'!$E$6:$E$205,MATCH($P43,'Opportunities'!$A$6:$A$205,0)),"")))</f>
        <v/>
      </c>
      <c r="T43" s="38">
        <f>IF($A43="","",IF($P43="","",IFERROR(INDEX('Opportunities'!$F$6:$F$205,MATCH($P43,'Opportunities'!$A$6:$A$205,0)),"")))</f>
        <v/>
      </c>
      <c r="U43" s="70">
        <f>IF($A43="","",IF($P43="","",IFERROR(INDEX('Opportunities'!$G$6:$G$205,MATCH($P43,'Opportunities'!$A$6:$A$205,0)),"")))</f>
        <v/>
      </c>
      <c r="V43" s="40">
        <f>IF($A43="","",IF($P43="","",IFERROR(INDEX('Opportunities'!$H$6:$H$205,MATCH($P43,'Opportunities'!$A$6:$A$205,0)),"")))</f>
        <v/>
      </c>
      <c r="W43" s="38">
        <f>IF($A43="","",IF($P43="","",IFERROR(INDEX('Opportunities'!$I$6:$I$205,MATCH($P43,'Opportunities'!$A$6:$A$205,0)),"")))</f>
        <v/>
      </c>
      <c r="X43" s="38">
        <f>IF($A43="","",IF($P43="","",IFERROR(INDEX('Opportunities'!$J$6:$J$205,MATCH($P43,'Opportunities'!$A$6:$A$205,0)),"")))</f>
        <v/>
      </c>
      <c r="Y43" s="70">
        <f>IF($A43="","",IF($P43="","",IFERROR(INDEX('Opportunities'!$K$6:$K$205,MATCH($P43,'Opportunities'!$A$6:$A$205,0)),"")))</f>
        <v/>
      </c>
      <c r="Z43" s="41">
        <f>IF($A43="","",IF($P43="","",IFERROR(INDEX('Opportunities'!$O$6:$O$205,MATCH($P43,'Opportunities'!$A$6:$A$205,0)),"")))</f>
        <v/>
      </c>
      <c r="AA43" s="41">
        <f>IF($A43="","",IF($P43="","",IFERROR(INDEX('Opportunities'!$P$6:$P$205,MATCH($P43,'Opportunities'!$A$6:$A$205,0)),"")))</f>
        <v/>
      </c>
      <c r="AB43" s="41">
        <f>IF($A43="","",IF($P43="","",IFERROR(INDEX('Opportunities'!$Q$6:$Q$205,MATCH($P43,'Opportunities'!$A$6:$A$205,0)),"")))</f>
        <v/>
      </c>
      <c r="AC43" s="71">
        <f>IF($A43="","",IF($P43="","",IFERROR(INDEX('Opportunities'!$Z$6:$Z$205,MATCH($P43,'Opportunities'!$A$6:$A$205,0)),"")))</f>
        <v/>
      </c>
      <c r="AD43" s="71">
        <f>IF($A43="","",IF($P43="","",IFERROR(INDEX('Opportunities'!$AJ$6:$AJ$205,MATCH($P43,'Opportunities'!$A$6:$A$205,0)),"")))</f>
        <v/>
      </c>
      <c r="AE43" s="72">
        <f>IF($A43="","",IF($P43="","",IFERROR(INDEX('Opportunities'!$AA$6:$AA$205,MATCH($P43,'Opportunities'!$A$6:$A$205,0)),"")))</f>
        <v/>
      </c>
      <c r="AF43" s="73">
        <f>IF($A43="","",IF($P43="","",IFERROR(INDEX('Opportunities'!$AF$6:$AF$205,MATCH($P43,'Opportunities'!$A$6:$A$205,0)),"")))</f>
        <v/>
      </c>
      <c r="AG43" s="41">
        <f>IF($A43="","",IF($P43="","",IFERROR(INDEX('Opportunities'!$AB$6:$AB$205,MATCH($P43,'Opportunities'!$A$6:$A$205,0)),"")))</f>
        <v/>
      </c>
      <c r="AH43" s="74">
        <f>IF($A43="","",IF($P43="","",IFERROR(($U43+$V43-$J43-$K43)*24,0)))</f>
        <v/>
      </c>
      <c r="AI43" s="38">
        <f>IF($A43="","",IF($P43="","No load selected",IF($AH43&lt;IFERROR($Z43/'Settings'!$B$11,0)+'Settings'!$B$12,"Too tight",IF($AH43&gt;'Settings'!$B$13,"Long wait","Feasible"))))</f>
        <v/>
      </c>
      <c r="AJ43" s="41">
        <f>IF($A43="","",IF($P43="","",$N43-$Z43-$AB43))</f>
        <v/>
      </c>
      <c r="AK43" s="38">
        <f>IF($A43="","",IF(COUNTIF($A$6:$A$205,$A43)&gt;1,"Duplicate Trip ID",IF($P43="","Open",IF(COUNTIF('Opportunities'!$A$6:$A$205,$P43)=0,"Load ID not found",IF(COUNTIFS('Opportunities'!$A$6:$A$205,$P43,'Opportunities'!$B$6:$B$205,$A43)=0,"Trip mismatch",IF(COUNTIF($P$6:$P$205,$P43)&gt;1,"Duplicate selection",IF(AND(OR($O43="Booked",$O43="Completed"),AND($Q43&lt;&gt;"Booked",$Q43&lt;&gt;"Completed")),"Status mismatch","OK")))))))</f>
        <v/>
      </c>
      <c r="AL43" s="46" t="n"/>
    </row>
    <row r="44">
      <c r="A44" s="34" t="n"/>
      <c r="B44" s="34" t="n"/>
      <c r="C44" s="34" t="n"/>
      <c r="D44" s="34" t="n"/>
      <c r="E44" s="34" t="n"/>
      <c r="F44" s="34" t="n"/>
      <c r="G44" s="34" t="n"/>
      <c r="H44" s="69" t="n"/>
      <c r="I44" s="36" t="n"/>
      <c r="J44" s="69" t="n"/>
      <c r="K44" s="36" t="n"/>
      <c r="L44" s="34" t="n"/>
      <c r="M44" s="34" t="n"/>
      <c r="N44" s="37" t="n"/>
      <c r="O44" s="34" t="n"/>
      <c r="P44" s="34" t="n"/>
      <c r="Q44" s="38">
        <f>IF($A44="","",IF($P44="","",IFERROR(INDEX('Opportunities'!$C$6:$C$205,MATCH($P44,'Opportunities'!$A$6:$A$205,0)),"")))</f>
        <v/>
      </c>
      <c r="R44" s="38">
        <f>IF($A44="","",IF($P44="","",IFERROR(INDEX('Opportunities'!$D$6:$D$205,MATCH($P44,'Opportunities'!$A$6:$A$205,0)),"")))</f>
        <v/>
      </c>
      <c r="S44" s="38">
        <f>IF($A44="","",IF($P44="","",IFERROR(INDEX('Opportunities'!$E$6:$E$205,MATCH($P44,'Opportunities'!$A$6:$A$205,0)),"")))</f>
        <v/>
      </c>
      <c r="T44" s="38">
        <f>IF($A44="","",IF($P44="","",IFERROR(INDEX('Opportunities'!$F$6:$F$205,MATCH($P44,'Opportunities'!$A$6:$A$205,0)),"")))</f>
        <v/>
      </c>
      <c r="U44" s="70">
        <f>IF($A44="","",IF($P44="","",IFERROR(INDEX('Opportunities'!$G$6:$G$205,MATCH($P44,'Opportunities'!$A$6:$A$205,0)),"")))</f>
        <v/>
      </c>
      <c r="V44" s="40">
        <f>IF($A44="","",IF($P44="","",IFERROR(INDEX('Opportunities'!$H$6:$H$205,MATCH($P44,'Opportunities'!$A$6:$A$205,0)),"")))</f>
        <v/>
      </c>
      <c r="W44" s="38">
        <f>IF($A44="","",IF($P44="","",IFERROR(INDEX('Opportunities'!$I$6:$I$205,MATCH($P44,'Opportunities'!$A$6:$A$205,0)),"")))</f>
        <v/>
      </c>
      <c r="X44" s="38">
        <f>IF($A44="","",IF($P44="","",IFERROR(INDEX('Opportunities'!$J$6:$J$205,MATCH($P44,'Opportunities'!$A$6:$A$205,0)),"")))</f>
        <v/>
      </c>
      <c r="Y44" s="70">
        <f>IF($A44="","",IF($P44="","",IFERROR(INDEX('Opportunities'!$K$6:$K$205,MATCH($P44,'Opportunities'!$A$6:$A$205,0)),"")))</f>
        <v/>
      </c>
      <c r="Z44" s="41">
        <f>IF($A44="","",IF($P44="","",IFERROR(INDEX('Opportunities'!$O$6:$O$205,MATCH($P44,'Opportunities'!$A$6:$A$205,0)),"")))</f>
        <v/>
      </c>
      <c r="AA44" s="41">
        <f>IF($A44="","",IF($P44="","",IFERROR(INDEX('Opportunities'!$P$6:$P$205,MATCH($P44,'Opportunities'!$A$6:$A$205,0)),"")))</f>
        <v/>
      </c>
      <c r="AB44" s="41">
        <f>IF($A44="","",IF($P44="","",IFERROR(INDEX('Opportunities'!$Q$6:$Q$205,MATCH($P44,'Opportunities'!$A$6:$A$205,0)),"")))</f>
        <v/>
      </c>
      <c r="AC44" s="71">
        <f>IF($A44="","",IF($P44="","",IFERROR(INDEX('Opportunities'!$Z$6:$Z$205,MATCH($P44,'Opportunities'!$A$6:$A$205,0)),"")))</f>
        <v/>
      </c>
      <c r="AD44" s="71">
        <f>IF($A44="","",IF($P44="","",IFERROR(INDEX('Opportunities'!$AJ$6:$AJ$205,MATCH($P44,'Opportunities'!$A$6:$A$205,0)),"")))</f>
        <v/>
      </c>
      <c r="AE44" s="72">
        <f>IF($A44="","",IF($P44="","",IFERROR(INDEX('Opportunities'!$AA$6:$AA$205,MATCH($P44,'Opportunities'!$A$6:$A$205,0)),"")))</f>
        <v/>
      </c>
      <c r="AF44" s="73">
        <f>IF($A44="","",IF($P44="","",IFERROR(INDEX('Opportunities'!$AF$6:$AF$205,MATCH($P44,'Opportunities'!$A$6:$A$205,0)),"")))</f>
        <v/>
      </c>
      <c r="AG44" s="41">
        <f>IF($A44="","",IF($P44="","",IFERROR(INDEX('Opportunities'!$AB$6:$AB$205,MATCH($P44,'Opportunities'!$A$6:$A$205,0)),"")))</f>
        <v/>
      </c>
      <c r="AH44" s="74">
        <f>IF($A44="","",IF($P44="","",IFERROR(($U44+$V44-$J44-$K44)*24,0)))</f>
        <v/>
      </c>
      <c r="AI44" s="38">
        <f>IF($A44="","",IF($P44="","No load selected",IF($AH44&lt;IFERROR($Z44/'Settings'!$B$11,0)+'Settings'!$B$12,"Too tight",IF($AH44&gt;'Settings'!$B$13,"Long wait","Feasible"))))</f>
        <v/>
      </c>
      <c r="AJ44" s="41">
        <f>IF($A44="","",IF($P44="","",$N44-$Z44-$AB44))</f>
        <v/>
      </c>
      <c r="AK44" s="38">
        <f>IF($A44="","",IF(COUNTIF($A$6:$A$205,$A44)&gt;1,"Duplicate Trip ID",IF($P44="","Open",IF(COUNTIF('Opportunities'!$A$6:$A$205,$P44)=0,"Load ID not found",IF(COUNTIFS('Opportunities'!$A$6:$A$205,$P44,'Opportunities'!$B$6:$B$205,$A44)=0,"Trip mismatch",IF(COUNTIF($P$6:$P$205,$P44)&gt;1,"Duplicate selection",IF(AND(OR($O44="Booked",$O44="Completed"),AND($Q44&lt;&gt;"Booked",$Q44&lt;&gt;"Completed")),"Status mismatch","OK")))))))</f>
        <v/>
      </c>
      <c r="AL44" s="46" t="n"/>
    </row>
    <row r="45">
      <c r="A45" s="34" t="n"/>
      <c r="B45" s="34" t="n"/>
      <c r="C45" s="34" t="n"/>
      <c r="D45" s="34" t="n"/>
      <c r="E45" s="34" t="n"/>
      <c r="F45" s="34" t="n"/>
      <c r="G45" s="34" t="n"/>
      <c r="H45" s="69" t="n"/>
      <c r="I45" s="36" t="n"/>
      <c r="J45" s="69" t="n"/>
      <c r="K45" s="36" t="n"/>
      <c r="L45" s="34" t="n"/>
      <c r="M45" s="34" t="n"/>
      <c r="N45" s="37" t="n"/>
      <c r="O45" s="34" t="n"/>
      <c r="P45" s="34" t="n"/>
      <c r="Q45" s="38">
        <f>IF($A45="","",IF($P45="","",IFERROR(INDEX('Opportunities'!$C$6:$C$205,MATCH($P45,'Opportunities'!$A$6:$A$205,0)),"")))</f>
        <v/>
      </c>
      <c r="R45" s="38">
        <f>IF($A45="","",IF($P45="","",IFERROR(INDEX('Opportunities'!$D$6:$D$205,MATCH($P45,'Opportunities'!$A$6:$A$205,0)),"")))</f>
        <v/>
      </c>
      <c r="S45" s="38">
        <f>IF($A45="","",IF($P45="","",IFERROR(INDEX('Opportunities'!$E$6:$E$205,MATCH($P45,'Opportunities'!$A$6:$A$205,0)),"")))</f>
        <v/>
      </c>
      <c r="T45" s="38">
        <f>IF($A45="","",IF($P45="","",IFERROR(INDEX('Opportunities'!$F$6:$F$205,MATCH($P45,'Opportunities'!$A$6:$A$205,0)),"")))</f>
        <v/>
      </c>
      <c r="U45" s="70">
        <f>IF($A45="","",IF($P45="","",IFERROR(INDEX('Opportunities'!$G$6:$G$205,MATCH($P45,'Opportunities'!$A$6:$A$205,0)),"")))</f>
        <v/>
      </c>
      <c r="V45" s="40">
        <f>IF($A45="","",IF($P45="","",IFERROR(INDEX('Opportunities'!$H$6:$H$205,MATCH($P45,'Opportunities'!$A$6:$A$205,0)),"")))</f>
        <v/>
      </c>
      <c r="W45" s="38">
        <f>IF($A45="","",IF($P45="","",IFERROR(INDEX('Opportunities'!$I$6:$I$205,MATCH($P45,'Opportunities'!$A$6:$A$205,0)),"")))</f>
        <v/>
      </c>
      <c r="X45" s="38">
        <f>IF($A45="","",IF($P45="","",IFERROR(INDEX('Opportunities'!$J$6:$J$205,MATCH($P45,'Opportunities'!$A$6:$A$205,0)),"")))</f>
        <v/>
      </c>
      <c r="Y45" s="70">
        <f>IF($A45="","",IF($P45="","",IFERROR(INDEX('Opportunities'!$K$6:$K$205,MATCH($P45,'Opportunities'!$A$6:$A$205,0)),"")))</f>
        <v/>
      </c>
      <c r="Z45" s="41">
        <f>IF($A45="","",IF($P45="","",IFERROR(INDEX('Opportunities'!$O$6:$O$205,MATCH($P45,'Opportunities'!$A$6:$A$205,0)),"")))</f>
        <v/>
      </c>
      <c r="AA45" s="41">
        <f>IF($A45="","",IF($P45="","",IFERROR(INDEX('Opportunities'!$P$6:$P$205,MATCH($P45,'Opportunities'!$A$6:$A$205,0)),"")))</f>
        <v/>
      </c>
      <c r="AB45" s="41">
        <f>IF($A45="","",IF($P45="","",IFERROR(INDEX('Opportunities'!$Q$6:$Q$205,MATCH($P45,'Opportunities'!$A$6:$A$205,0)),"")))</f>
        <v/>
      </c>
      <c r="AC45" s="71">
        <f>IF($A45="","",IF($P45="","",IFERROR(INDEX('Opportunities'!$Z$6:$Z$205,MATCH($P45,'Opportunities'!$A$6:$A$205,0)),"")))</f>
        <v/>
      </c>
      <c r="AD45" s="71">
        <f>IF($A45="","",IF($P45="","",IFERROR(INDEX('Opportunities'!$AJ$6:$AJ$205,MATCH($P45,'Opportunities'!$A$6:$A$205,0)),"")))</f>
        <v/>
      </c>
      <c r="AE45" s="72">
        <f>IF($A45="","",IF($P45="","",IFERROR(INDEX('Opportunities'!$AA$6:$AA$205,MATCH($P45,'Opportunities'!$A$6:$A$205,0)),"")))</f>
        <v/>
      </c>
      <c r="AF45" s="73">
        <f>IF($A45="","",IF($P45="","",IFERROR(INDEX('Opportunities'!$AF$6:$AF$205,MATCH($P45,'Opportunities'!$A$6:$A$205,0)),"")))</f>
        <v/>
      </c>
      <c r="AG45" s="41">
        <f>IF($A45="","",IF($P45="","",IFERROR(INDEX('Opportunities'!$AB$6:$AB$205,MATCH($P45,'Opportunities'!$A$6:$A$205,0)),"")))</f>
        <v/>
      </c>
      <c r="AH45" s="74">
        <f>IF($A45="","",IF($P45="","",IFERROR(($U45+$V45-$J45-$K45)*24,0)))</f>
        <v/>
      </c>
      <c r="AI45" s="38">
        <f>IF($A45="","",IF($P45="","No load selected",IF($AH45&lt;IFERROR($Z45/'Settings'!$B$11,0)+'Settings'!$B$12,"Too tight",IF($AH45&gt;'Settings'!$B$13,"Long wait","Feasible"))))</f>
        <v/>
      </c>
      <c r="AJ45" s="41">
        <f>IF($A45="","",IF($P45="","",$N45-$Z45-$AB45))</f>
        <v/>
      </c>
      <c r="AK45" s="38">
        <f>IF($A45="","",IF(COUNTIF($A$6:$A$205,$A45)&gt;1,"Duplicate Trip ID",IF($P45="","Open",IF(COUNTIF('Opportunities'!$A$6:$A$205,$P45)=0,"Load ID not found",IF(COUNTIFS('Opportunities'!$A$6:$A$205,$P45,'Opportunities'!$B$6:$B$205,$A45)=0,"Trip mismatch",IF(COUNTIF($P$6:$P$205,$P45)&gt;1,"Duplicate selection",IF(AND(OR($O45="Booked",$O45="Completed"),AND($Q45&lt;&gt;"Booked",$Q45&lt;&gt;"Completed")),"Status mismatch","OK")))))))</f>
        <v/>
      </c>
      <c r="AL45" s="46" t="n"/>
    </row>
    <row r="46">
      <c r="A46" s="34" t="n"/>
      <c r="B46" s="34" t="n"/>
      <c r="C46" s="34" t="n"/>
      <c r="D46" s="34" t="n"/>
      <c r="E46" s="34" t="n"/>
      <c r="F46" s="34" t="n"/>
      <c r="G46" s="34" t="n"/>
      <c r="H46" s="69" t="n"/>
      <c r="I46" s="36" t="n"/>
      <c r="J46" s="69" t="n"/>
      <c r="K46" s="36" t="n"/>
      <c r="L46" s="34" t="n"/>
      <c r="M46" s="34" t="n"/>
      <c r="N46" s="37" t="n"/>
      <c r="O46" s="34" t="n"/>
      <c r="P46" s="34" t="n"/>
      <c r="Q46" s="38">
        <f>IF($A46="","",IF($P46="","",IFERROR(INDEX('Opportunities'!$C$6:$C$205,MATCH($P46,'Opportunities'!$A$6:$A$205,0)),"")))</f>
        <v/>
      </c>
      <c r="R46" s="38">
        <f>IF($A46="","",IF($P46="","",IFERROR(INDEX('Opportunities'!$D$6:$D$205,MATCH($P46,'Opportunities'!$A$6:$A$205,0)),"")))</f>
        <v/>
      </c>
      <c r="S46" s="38">
        <f>IF($A46="","",IF($P46="","",IFERROR(INDEX('Opportunities'!$E$6:$E$205,MATCH($P46,'Opportunities'!$A$6:$A$205,0)),"")))</f>
        <v/>
      </c>
      <c r="T46" s="38">
        <f>IF($A46="","",IF($P46="","",IFERROR(INDEX('Opportunities'!$F$6:$F$205,MATCH($P46,'Opportunities'!$A$6:$A$205,0)),"")))</f>
        <v/>
      </c>
      <c r="U46" s="70">
        <f>IF($A46="","",IF($P46="","",IFERROR(INDEX('Opportunities'!$G$6:$G$205,MATCH($P46,'Opportunities'!$A$6:$A$205,0)),"")))</f>
        <v/>
      </c>
      <c r="V46" s="40">
        <f>IF($A46="","",IF($P46="","",IFERROR(INDEX('Opportunities'!$H$6:$H$205,MATCH($P46,'Opportunities'!$A$6:$A$205,0)),"")))</f>
        <v/>
      </c>
      <c r="W46" s="38">
        <f>IF($A46="","",IF($P46="","",IFERROR(INDEX('Opportunities'!$I$6:$I$205,MATCH($P46,'Opportunities'!$A$6:$A$205,0)),"")))</f>
        <v/>
      </c>
      <c r="X46" s="38">
        <f>IF($A46="","",IF($P46="","",IFERROR(INDEX('Opportunities'!$J$6:$J$205,MATCH($P46,'Opportunities'!$A$6:$A$205,0)),"")))</f>
        <v/>
      </c>
      <c r="Y46" s="70">
        <f>IF($A46="","",IF($P46="","",IFERROR(INDEX('Opportunities'!$K$6:$K$205,MATCH($P46,'Opportunities'!$A$6:$A$205,0)),"")))</f>
        <v/>
      </c>
      <c r="Z46" s="41">
        <f>IF($A46="","",IF($P46="","",IFERROR(INDEX('Opportunities'!$O$6:$O$205,MATCH($P46,'Opportunities'!$A$6:$A$205,0)),"")))</f>
        <v/>
      </c>
      <c r="AA46" s="41">
        <f>IF($A46="","",IF($P46="","",IFERROR(INDEX('Opportunities'!$P$6:$P$205,MATCH($P46,'Opportunities'!$A$6:$A$205,0)),"")))</f>
        <v/>
      </c>
      <c r="AB46" s="41">
        <f>IF($A46="","",IF($P46="","",IFERROR(INDEX('Opportunities'!$Q$6:$Q$205,MATCH($P46,'Opportunities'!$A$6:$A$205,0)),"")))</f>
        <v/>
      </c>
      <c r="AC46" s="71">
        <f>IF($A46="","",IF($P46="","",IFERROR(INDEX('Opportunities'!$Z$6:$Z$205,MATCH($P46,'Opportunities'!$A$6:$A$205,0)),"")))</f>
        <v/>
      </c>
      <c r="AD46" s="71">
        <f>IF($A46="","",IF($P46="","",IFERROR(INDEX('Opportunities'!$AJ$6:$AJ$205,MATCH($P46,'Opportunities'!$A$6:$A$205,0)),"")))</f>
        <v/>
      </c>
      <c r="AE46" s="72">
        <f>IF($A46="","",IF($P46="","",IFERROR(INDEX('Opportunities'!$AA$6:$AA$205,MATCH($P46,'Opportunities'!$A$6:$A$205,0)),"")))</f>
        <v/>
      </c>
      <c r="AF46" s="73">
        <f>IF($A46="","",IF($P46="","",IFERROR(INDEX('Opportunities'!$AF$6:$AF$205,MATCH($P46,'Opportunities'!$A$6:$A$205,0)),"")))</f>
        <v/>
      </c>
      <c r="AG46" s="41">
        <f>IF($A46="","",IF($P46="","",IFERROR(INDEX('Opportunities'!$AB$6:$AB$205,MATCH($P46,'Opportunities'!$A$6:$A$205,0)),"")))</f>
        <v/>
      </c>
      <c r="AH46" s="74">
        <f>IF($A46="","",IF($P46="","",IFERROR(($U46+$V46-$J46-$K46)*24,0)))</f>
        <v/>
      </c>
      <c r="AI46" s="38">
        <f>IF($A46="","",IF($P46="","No load selected",IF($AH46&lt;IFERROR($Z46/'Settings'!$B$11,0)+'Settings'!$B$12,"Too tight",IF($AH46&gt;'Settings'!$B$13,"Long wait","Feasible"))))</f>
        <v/>
      </c>
      <c r="AJ46" s="41">
        <f>IF($A46="","",IF($P46="","",$N46-$Z46-$AB46))</f>
        <v/>
      </c>
      <c r="AK46" s="38">
        <f>IF($A46="","",IF(COUNTIF($A$6:$A$205,$A46)&gt;1,"Duplicate Trip ID",IF($P46="","Open",IF(COUNTIF('Opportunities'!$A$6:$A$205,$P46)=0,"Load ID not found",IF(COUNTIFS('Opportunities'!$A$6:$A$205,$P46,'Opportunities'!$B$6:$B$205,$A46)=0,"Trip mismatch",IF(COUNTIF($P$6:$P$205,$P46)&gt;1,"Duplicate selection",IF(AND(OR($O46="Booked",$O46="Completed"),AND($Q46&lt;&gt;"Booked",$Q46&lt;&gt;"Completed")),"Status mismatch","OK")))))))</f>
        <v/>
      </c>
      <c r="AL46" s="46" t="n"/>
    </row>
    <row r="47">
      <c r="A47" s="34" t="n"/>
      <c r="B47" s="34" t="n"/>
      <c r="C47" s="34" t="n"/>
      <c r="D47" s="34" t="n"/>
      <c r="E47" s="34" t="n"/>
      <c r="F47" s="34" t="n"/>
      <c r="G47" s="34" t="n"/>
      <c r="H47" s="69" t="n"/>
      <c r="I47" s="36" t="n"/>
      <c r="J47" s="69" t="n"/>
      <c r="K47" s="36" t="n"/>
      <c r="L47" s="34" t="n"/>
      <c r="M47" s="34" t="n"/>
      <c r="N47" s="37" t="n"/>
      <c r="O47" s="34" t="n"/>
      <c r="P47" s="34" t="n"/>
      <c r="Q47" s="38">
        <f>IF($A47="","",IF($P47="","",IFERROR(INDEX('Opportunities'!$C$6:$C$205,MATCH($P47,'Opportunities'!$A$6:$A$205,0)),"")))</f>
        <v/>
      </c>
      <c r="R47" s="38">
        <f>IF($A47="","",IF($P47="","",IFERROR(INDEX('Opportunities'!$D$6:$D$205,MATCH($P47,'Opportunities'!$A$6:$A$205,0)),"")))</f>
        <v/>
      </c>
      <c r="S47" s="38">
        <f>IF($A47="","",IF($P47="","",IFERROR(INDEX('Opportunities'!$E$6:$E$205,MATCH($P47,'Opportunities'!$A$6:$A$205,0)),"")))</f>
        <v/>
      </c>
      <c r="T47" s="38">
        <f>IF($A47="","",IF($P47="","",IFERROR(INDEX('Opportunities'!$F$6:$F$205,MATCH($P47,'Opportunities'!$A$6:$A$205,0)),"")))</f>
        <v/>
      </c>
      <c r="U47" s="70">
        <f>IF($A47="","",IF($P47="","",IFERROR(INDEX('Opportunities'!$G$6:$G$205,MATCH($P47,'Opportunities'!$A$6:$A$205,0)),"")))</f>
        <v/>
      </c>
      <c r="V47" s="40">
        <f>IF($A47="","",IF($P47="","",IFERROR(INDEX('Opportunities'!$H$6:$H$205,MATCH($P47,'Opportunities'!$A$6:$A$205,0)),"")))</f>
        <v/>
      </c>
      <c r="W47" s="38">
        <f>IF($A47="","",IF($P47="","",IFERROR(INDEX('Opportunities'!$I$6:$I$205,MATCH($P47,'Opportunities'!$A$6:$A$205,0)),"")))</f>
        <v/>
      </c>
      <c r="X47" s="38">
        <f>IF($A47="","",IF($P47="","",IFERROR(INDEX('Opportunities'!$J$6:$J$205,MATCH($P47,'Opportunities'!$A$6:$A$205,0)),"")))</f>
        <v/>
      </c>
      <c r="Y47" s="70">
        <f>IF($A47="","",IF($P47="","",IFERROR(INDEX('Opportunities'!$K$6:$K$205,MATCH($P47,'Opportunities'!$A$6:$A$205,0)),"")))</f>
        <v/>
      </c>
      <c r="Z47" s="41">
        <f>IF($A47="","",IF($P47="","",IFERROR(INDEX('Opportunities'!$O$6:$O$205,MATCH($P47,'Opportunities'!$A$6:$A$205,0)),"")))</f>
        <v/>
      </c>
      <c r="AA47" s="41">
        <f>IF($A47="","",IF($P47="","",IFERROR(INDEX('Opportunities'!$P$6:$P$205,MATCH($P47,'Opportunities'!$A$6:$A$205,0)),"")))</f>
        <v/>
      </c>
      <c r="AB47" s="41">
        <f>IF($A47="","",IF($P47="","",IFERROR(INDEX('Opportunities'!$Q$6:$Q$205,MATCH($P47,'Opportunities'!$A$6:$A$205,0)),"")))</f>
        <v/>
      </c>
      <c r="AC47" s="71">
        <f>IF($A47="","",IF($P47="","",IFERROR(INDEX('Opportunities'!$Z$6:$Z$205,MATCH($P47,'Opportunities'!$A$6:$A$205,0)),"")))</f>
        <v/>
      </c>
      <c r="AD47" s="71">
        <f>IF($A47="","",IF($P47="","",IFERROR(INDEX('Opportunities'!$AJ$6:$AJ$205,MATCH($P47,'Opportunities'!$A$6:$A$205,0)),"")))</f>
        <v/>
      </c>
      <c r="AE47" s="72">
        <f>IF($A47="","",IF($P47="","",IFERROR(INDEX('Opportunities'!$AA$6:$AA$205,MATCH($P47,'Opportunities'!$A$6:$A$205,0)),"")))</f>
        <v/>
      </c>
      <c r="AF47" s="73">
        <f>IF($A47="","",IF($P47="","",IFERROR(INDEX('Opportunities'!$AF$6:$AF$205,MATCH($P47,'Opportunities'!$A$6:$A$205,0)),"")))</f>
        <v/>
      </c>
      <c r="AG47" s="41">
        <f>IF($A47="","",IF($P47="","",IFERROR(INDEX('Opportunities'!$AB$6:$AB$205,MATCH($P47,'Opportunities'!$A$6:$A$205,0)),"")))</f>
        <v/>
      </c>
      <c r="AH47" s="74">
        <f>IF($A47="","",IF($P47="","",IFERROR(($U47+$V47-$J47-$K47)*24,0)))</f>
        <v/>
      </c>
      <c r="AI47" s="38">
        <f>IF($A47="","",IF($P47="","No load selected",IF($AH47&lt;IFERROR($Z47/'Settings'!$B$11,0)+'Settings'!$B$12,"Too tight",IF($AH47&gt;'Settings'!$B$13,"Long wait","Feasible"))))</f>
        <v/>
      </c>
      <c r="AJ47" s="41">
        <f>IF($A47="","",IF($P47="","",$N47-$Z47-$AB47))</f>
        <v/>
      </c>
      <c r="AK47" s="38">
        <f>IF($A47="","",IF(COUNTIF($A$6:$A$205,$A47)&gt;1,"Duplicate Trip ID",IF($P47="","Open",IF(COUNTIF('Opportunities'!$A$6:$A$205,$P47)=0,"Load ID not found",IF(COUNTIFS('Opportunities'!$A$6:$A$205,$P47,'Opportunities'!$B$6:$B$205,$A47)=0,"Trip mismatch",IF(COUNTIF($P$6:$P$205,$P47)&gt;1,"Duplicate selection",IF(AND(OR($O47="Booked",$O47="Completed"),AND($Q47&lt;&gt;"Booked",$Q47&lt;&gt;"Completed")),"Status mismatch","OK")))))))</f>
        <v/>
      </c>
      <c r="AL47" s="46" t="n"/>
    </row>
    <row r="48">
      <c r="A48" s="34" t="n"/>
      <c r="B48" s="34" t="n"/>
      <c r="C48" s="34" t="n"/>
      <c r="D48" s="34" t="n"/>
      <c r="E48" s="34" t="n"/>
      <c r="F48" s="34" t="n"/>
      <c r="G48" s="34" t="n"/>
      <c r="H48" s="69" t="n"/>
      <c r="I48" s="36" t="n"/>
      <c r="J48" s="69" t="n"/>
      <c r="K48" s="36" t="n"/>
      <c r="L48" s="34" t="n"/>
      <c r="M48" s="34" t="n"/>
      <c r="N48" s="37" t="n"/>
      <c r="O48" s="34" t="n"/>
      <c r="P48" s="34" t="n"/>
      <c r="Q48" s="38">
        <f>IF($A48="","",IF($P48="","",IFERROR(INDEX('Opportunities'!$C$6:$C$205,MATCH($P48,'Opportunities'!$A$6:$A$205,0)),"")))</f>
        <v/>
      </c>
      <c r="R48" s="38">
        <f>IF($A48="","",IF($P48="","",IFERROR(INDEX('Opportunities'!$D$6:$D$205,MATCH($P48,'Opportunities'!$A$6:$A$205,0)),"")))</f>
        <v/>
      </c>
      <c r="S48" s="38">
        <f>IF($A48="","",IF($P48="","",IFERROR(INDEX('Opportunities'!$E$6:$E$205,MATCH($P48,'Opportunities'!$A$6:$A$205,0)),"")))</f>
        <v/>
      </c>
      <c r="T48" s="38">
        <f>IF($A48="","",IF($P48="","",IFERROR(INDEX('Opportunities'!$F$6:$F$205,MATCH($P48,'Opportunities'!$A$6:$A$205,0)),"")))</f>
        <v/>
      </c>
      <c r="U48" s="70">
        <f>IF($A48="","",IF($P48="","",IFERROR(INDEX('Opportunities'!$G$6:$G$205,MATCH($P48,'Opportunities'!$A$6:$A$205,0)),"")))</f>
        <v/>
      </c>
      <c r="V48" s="40">
        <f>IF($A48="","",IF($P48="","",IFERROR(INDEX('Opportunities'!$H$6:$H$205,MATCH($P48,'Opportunities'!$A$6:$A$205,0)),"")))</f>
        <v/>
      </c>
      <c r="W48" s="38">
        <f>IF($A48="","",IF($P48="","",IFERROR(INDEX('Opportunities'!$I$6:$I$205,MATCH($P48,'Opportunities'!$A$6:$A$205,0)),"")))</f>
        <v/>
      </c>
      <c r="X48" s="38">
        <f>IF($A48="","",IF($P48="","",IFERROR(INDEX('Opportunities'!$J$6:$J$205,MATCH($P48,'Opportunities'!$A$6:$A$205,0)),"")))</f>
        <v/>
      </c>
      <c r="Y48" s="70">
        <f>IF($A48="","",IF($P48="","",IFERROR(INDEX('Opportunities'!$K$6:$K$205,MATCH($P48,'Opportunities'!$A$6:$A$205,0)),"")))</f>
        <v/>
      </c>
      <c r="Z48" s="41">
        <f>IF($A48="","",IF($P48="","",IFERROR(INDEX('Opportunities'!$O$6:$O$205,MATCH($P48,'Opportunities'!$A$6:$A$205,0)),"")))</f>
        <v/>
      </c>
      <c r="AA48" s="41">
        <f>IF($A48="","",IF($P48="","",IFERROR(INDEX('Opportunities'!$P$6:$P$205,MATCH($P48,'Opportunities'!$A$6:$A$205,0)),"")))</f>
        <v/>
      </c>
      <c r="AB48" s="41">
        <f>IF($A48="","",IF($P48="","",IFERROR(INDEX('Opportunities'!$Q$6:$Q$205,MATCH($P48,'Opportunities'!$A$6:$A$205,0)),"")))</f>
        <v/>
      </c>
      <c r="AC48" s="71">
        <f>IF($A48="","",IF($P48="","",IFERROR(INDEX('Opportunities'!$Z$6:$Z$205,MATCH($P48,'Opportunities'!$A$6:$A$205,0)),"")))</f>
        <v/>
      </c>
      <c r="AD48" s="71">
        <f>IF($A48="","",IF($P48="","",IFERROR(INDEX('Opportunities'!$AJ$6:$AJ$205,MATCH($P48,'Opportunities'!$A$6:$A$205,0)),"")))</f>
        <v/>
      </c>
      <c r="AE48" s="72">
        <f>IF($A48="","",IF($P48="","",IFERROR(INDEX('Opportunities'!$AA$6:$AA$205,MATCH($P48,'Opportunities'!$A$6:$A$205,0)),"")))</f>
        <v/>
      </c>
      <c r="AF48" s="73">
        <f>IF($A48="","",IF($P48="","",IFERROR(INDEX('Opportunities'!$AF$6:$AF$205,MATCH($P48,'Opportunities'!$A$6:$A$205,0)),"")))</f>
        <v/>
      </c>
      <c r="AG48" s="41">
        <f>IF($A48="","",IF($P48="","",IFERROR(INDEX('Opportunities'!$AB$6:$AB$205,MATCH($P48,'Opportunities'!$A$6:$A$205,0)),"")))</f>
        <v/>
      </c>
      <c r="AH48" s="74">
        <f>IF($A48="","",IF($P48="","",IFERROR(($U48+$V48-$J48-$K48)*24,0)))</f>
        <v/>
      </c>
      <c r="AI48" s="38">
        <f>IF($A48="","",IF($P48="","No load selected",IF($AH48&lt;IFERROR($Z48/'Settings'!$B$11,0)+'Settings'!$B$12,"Too tight",IF($AH48&gt;'Settings'!$B$13,"Long wait","Feasible"))))</f>
        <v/>
      </c>
      <c r="AJ48" s="41">
        <f>IF($A48="","",IF($P48="","",$N48-$Z48-$AB48))</f>
        <v/>
      </c>
      <c r="AK48" s="38">
        <f>IF($A48="","",IF(COUNTIF($A$6:$A$205,$A48)&gt;1,"Duplicate Trip ID",IF($P48="","Open",IF(COUNTIF('Opportunities'!$A$6:$A$205,$P48)=0,"Load ID not found",IF(COUNTIFS('Opportunities'!$A$6:$A$205,$P48,'Opportunities'!$B$6:$B$205,$A48)=0,"Trip mismatch",IF(COUNTIF($P$6:$P$205,$P48)&gt;1,"Duplicate selection",IF(AND(OR($O48="Booked",$O48="Completed"),AND($Q48&lt;&gt;"Booked",$Q48&lt;&gt;"Completed")),"Status mismatch","OK")))))))</f>
        <v/>
      </c>
      <c r="AL48" s="46" t="n"/>
    </row>
    <row r="49">
      <c r="A49" s="34" t="n"/>
      <c r="B49" s="34" t="n"/>
      <c r="C49" s="34" t="n"/>
      <c r="D49" s="34" t="n"/>
      <c r="E49" s="34" t="n"/>
      <c r="F49" s="34" t="n"/>
      <c r="G49" s="34" t="n"/>
      <c r="H49" s="69" t="n"/>
      <c r="I49" s="36" t="n"/>
      <c r="J49" s="69" t="n"/>
      <c r="K49" s="36" t="n"/>
      <c r="L49" s="34" t="n"/>
      <c r="M49" s="34" t="n"/>
      <c r="N49" s="37" t="n"/>
      <c r="O49" s="34" t="n"/>
      <c r="P49" s="34" t="n"/>
      <c r="Q49" s="38">
        <f>IF($A49="","",IF($P49="","",IFERROR(INDEX('Opportunities'!$C$6:$C$205,MATCH($P49,'Opportunities'!$A$6:$A$205,0)),"")))</f>
        <v/>
      </c>
      <c r="R49" s="38">
        <f>IF($A49="","",IF($P49="","",IFERROR(INDEX('Opportunities'!$D$6:$D$205,MATCH($P49,'Opportunities'!$A$6:$A$205,0)),"")))</f>
        <v/>
      </c>
      <c r="S49" s="38">
        <f>IF($A49="","",IF($P49="","",IFERROR(INDEX('Opportunities'!$E$6:$E$205,MATCH($P49,'Opportunities'!$A$6:$A$205,0)),"")))</f>
        <v/>
      </c>
      <c r="T49" s="38">
        <f>IF($A49="","",IF($P49="","",IFERROR(INDEX('Opportunities'!$F$6:$F$205,MATCH($P49,'Opportunities'!$A$6:$A$205,0)),"")))</f>
        <v/>
      </c>
      <c r="U49" s="70">
        <f>IF($A49="","",IF($P49="","",IFERROR(INDEX('Opportunities'!$G$6:$G$205,MATCH($P49,'Opportunities'!$A$6:$A$205,0)),"")))</f>
        <v/>
      </c>
      <c r="V49" s="40">
        <f>IF($A49="","",IF($P49="","",IFERROR(INDEX('Opportunities'!$H$6:$H$205,MATCH($P49,'Opportunities'!$A$6:$A$205,0)),"")))</f>
        <v/>
      </c>
      <c r="W49" s="38">
        <f>IF($A49="","",IF($P49="","",IFERROR(INDEX('Opportunities'!$I$6:$I$205,MATCH($P49,'Opportunities'!$A$6:$A$205,0)),"")))</f>
        <v/>
      </c>
      <c r="X49" s="38">
        <f>IF($A49="","",IF($P49="","",IFERROR(INDEX('Opportunities'!$J$6:$J$205,MATCH($P49,'Opportunities'!$A$6:$A$205,0)),"")))</f>
        <v/>
      </c>
      <c r="Y49" s="70">
        <f>IF($A49="","",IF($P49="","",IFERROR(INDEX('Opportunities'!$K$6:$K$205,MATCH($P49,'Opportunities'!$A$6:$A$205,0)),"")))</f>
        <v/>
      </c>
      <c r="Z49" s="41">
        <f>IF($A49="","",IF($P49="","",IFERROR(INDEX('Opportunities'!$O$6:$O$205,MATCH($P49,'Opportunities'!$A$6:$A$205,0)),"")))</f>
        <v/>
      </c>
      <c r="AA49" s="41">
        <f>IF($A49="","",IF($P49="","",IFERROR(INDEX('Opportunities'!$P$6:$P$205,MATCH($P49,'Opportunities'!$A$6:$A$205,0)),"")))</f>
        <v/>
      </c>
      <c r="AB49" s="41">
        <f>IF($A49="","",IF($P49="","",IFERROR(INDEX('Opportunities'!$Q$6:$Q$205,MATCH($P49,'Opportunities'!$A$6:$A$205,0)),"")))</f>
        <v/>
      </c>
      <c r="AC49" s="71">
        <f>IF($A49="","",IF($P49="","",IFERROR(INDEX('Opportunities'!$Z$6:$Z$205,MATCH($P49,'Opportunities'!$A$6:$A$205,0)),"")))</f>
        <v/>
      </c>
      <c r="AD49" s="71">
        <f>IF($A49="","",IF($P49="","",IFERROR(INDEX('Opportunities'!$AJ$6:$AJ$205,MATCH($P49,'Opportunities'!$A$6:$A$205,0)),"")))</f>
        <v/>
      </c>
      <c r="AE49" s="72">
        <f>IF($A49="","",IF($P49="","",IFERROR(INDEX('Opportunities'!$AA$6:$AA$205,MATCH($P49,'Opportunities'!$A$6:$A$205,0)),"")))</f>
        <v/>
      </c>
      <c r="AF49" s="73">
        <f>IF($A49="","",IF($P49="","",IFERROR(INDEX('Opportunities'!$AF$6:$AF$205,MATCH($P49,'Opportunities'!$A$6:$A$205,0)),"")))</f>
        <v/>
      </c>
      <c r="AG49" s="41">
        <f>IF($A49="","",IF($P49="","",IFERROR(INDEX('Opportunities'!$AB$6:$AB$205,MATCH($P49,'Opportunities'!$A$6:$A$205,0)),"")))</f>
        <v/>
      </c>
      <c r="AH49" s="74">
        <f>IF($A49="","",IF($P49="","",IFERROR(($U49+$V49-$J49-$K49)*24,0)))</f>
        <v/>
      </c>
      <c r="AI49" s="38">
        <f>IF($A49="","",IF($P49="","No load selected",IF($AH49&lt;IFERROR($Z49/'Settings'!$B$11,0)+'Settings'!$B$12,"Too tight",IF($AH49&gt;'Settings'!$B$13,"Long wait","Feasible"))))</f>
        <v/>
      </c>
      <c r="AJ49" s="41">
        <f>IF($A49="","",IF($P49="","",$N49-$Z49-$AB49))</f>
        <v/>
      </c>
      <c r="AK49" s="38">
        <f>IF($A49="","",IF(COUNTIF($A$6:$A$205,$A49)&gt;1,"Duplicate Trip ID",IF($P49="","Open",IF(COUNTIF('Opportunities'!$A$6:$A$205,$P49)=0,"Load ID not found",IF(COUNTIFS('Opportunities'!$A$6:$A$205,$P49,'Opportunities'!$B$6:$B$205,$A49)=0,"Trip mismatch",IF(COUNTIF($P$6:$P$205,$P49)&gt;1,"Duplicate selection",IF(AND(OR($O49="Booked",$O49="Completed"),AND($Q49&lt;&gt;"Booked",$Q49&lt;&gt;"Completed")),"Status mismatch","OK")))))))</f>
        <v/>
      </c>
      <c r="AL49" s="46" t="n"/>
    </row>
    <row r="50">
      <c r="A50" s="34" t="n"/>
      <c r="B50" s="34" t="n"/>
      <c r="C50" s="34" t="n"/>
      <c r="D50" s="34" t="n"/>
      <c r="E50" s="34" t="n"/>
      <c r="F50" s="34" t="n"/>
      <c r="G50" s="34" t="n"/>
      <c r="H50" s="69" t="n"/>
      <c r="I50" s="36" t="n"/>
      <c r="J50" s="69" t="n"/>
      <c r="K50" s="36" t="n"/>
      <c r="L50" s="34" t="n"/>
      <c r="M50" s="34" t="n"/>
      <c r="N50" s="37" t="n"/>
      <c r="O50" s="34" t="n"/>
      <c r="P50" s="34" t="n"/>
      <c r="Q50" s="38">
        <f>IF($A50="","",IF($P50="","",IFERROR(INDEX('Opportunities'!$C$6:$C$205,MATCH($P50,'Opportunities'!$A$6:$A$205,0)),"")))</f>
        <v/>
      </c>
      <c r="R50" s="38">
        <f>IF($A50="","",IF($P50="","",IFERROR(INDEX('Opportunities'!$D$6:$D$205,MATCH($P50,'Opportunities'!$A$6:$A$205,0)),"")))</f>
        <v/>
      </c>
      <c r="S50" s="38">
        <f>IF($A50="","",IF($P50="","",IFERROR(INDEX('Opportunities'!$E$6:$E$205,MATCH($P50,'Opportunities'!$A$6:$A$205,0)),"")))</f>
        <v/>
      </c>
      <c r="T50" s="38">
        <f>IF($A50="","",IF($P50="","",IFERROR(INDEX('Opportunities'!$F$6:$F$205,MATCH($P50,'Opportunities'!$A$6:$A$205,0)),"")))</f>
        <v/>
      </c>
      <c r="U50" s="70">
        <f>IF($A50="","",IF($P50="","",IFERROR(INDEX('Opportunities'!$G$6:$G$205,MATCH($P50,'Opportunities'!$A$6:$A$205,0)),"")))</f>
        <v/>
      </c>
      <c r="V50" s="40">
        <f>IF($A50="","",IF($P50="","",IFERROR(INDEX('Opportunities'!$H$6:$H$205,MATCH($P50,'Opportunities'!$A$6:$A$205,0)),"")))</f>
        <v/>
      </c>
      <c r="W50" s="38">
        <f>IF($A50="","",IF($P50="","",IFERROR(INDEX('Opportunities'!$I$6:$I$205,MATCH($P50,'Opportunities'!$A$6:$A$205,0)),"")))</f>
        <v/>
      </c>
      <c r="X50" s="38">
        <f>IF($A50="","",IF($P50="","",IFERROR(INDEX('Opportunities'!$J$6:$J$205,MATCH($P50,'Opportunities'!$A$6:$A$205,0)),"")))</f>
        <v/>
      </c>
      <c r="Y50" s="70">
        <f>IF($A50="","",IF($P50="","",IFERROR(INDEX('Opportunities'!$K$6:$K$205,MATCH($P50,'Opportunities'!$A$6:$A$205,0)),"")))</f>
        <v/>
      </c>
      <c r="Z50" s="41">
        <f>IF($A50="","",IF($P50="","",IFERROR(INDEX('Opportunities'!$O$6:$O$205,MATCH($P50,'Opportunities'!$A$6:$A$205,0)),"")))</f>
        <v/>
      </c>
      <c r="AA50" s="41">
        <f>IF($A50="","",IF($P50="","",IFERROR(INDEX('Opportunities'!$P$6:$P$205,MATCH($P50,'Opportunities'!$A$6:$A$205,0)),"")))</f>
        <v/>
      </c>
      <c r="AB50" s="41">
        <f>IF($A50="","",IF($P50="","",IFERROR(INDEX('Opportunities'!$Q$6:$Q$205,MATCH($P50,'Opportunities'!$A$6:$A$205,0)),"")))</f>
        <v/>
      </c>
      <c r="AC50" s="71">
        <f>IF($A50="","",IF($P50="","",IFERROR(INDEX('Opportunities'!$Z$6:$Z$205,MATCH($P50,'Opportunities'!$A$6:$A$205,0)),"")))</f>
        <v/>
      </c>
      <c r="AD50" s="71">
        <f>IF($A50="","",IF($P50="","",IFERROR(INDEX('Opportunities'!$AJ$6:$AJ$205,MATCH($P50,'Opportunities'!$A$6:$A$205,0)),"")))</f>
        <v/>
      </c>
      <c r="AE50" s="72">
        <f>IF($A50="","",IF($P50="","",IFERROR(INDEX('Opportunities'!$AA$6:$AA$205,MATCH($P50,'Opportunities'!$A$6:$A$205,0)),"")))</f>
        <v/>
      </c>
      <c r="AF50" s="73">
        <f>IF($A50="","",IF($P50="","",IFERROR(INDEX('Opportunities'!$AF$6:$AF$205,MATCH($P50,'Opportunities'!$A$6:$A$205,0)),"")))</f>
        <v/>
      </c>
      <c r="AG50" s="41">
        <f>IF($A50="","",IF($P50="","",IFERROR(INDEX('Opportunities'!$AB$6:$AB$205,MATCH($P50,'Opportunities'!$A$6:$A$205,0)),"")))</f>
        <v/>
      </c>
      <c r="AH50" s="74">
        <f>IF($A50="","",IF($P50="","",IFERROR(($U50+$V50-$J50-$K50)*24,0)))</f>
        <v/>
      </c>
      <c r="AI50" s="38">
        <f>IF($A50="","",IF($P50="","No load selected",IF($AH50&lt;IFERROR($Z50/'Settings'!$B$11,0)+'Settings'!$B$12,"Too tight",IF($AH50&gt;'Settings'!$B$13,"Long wait","Feasible"))))</f>
        <v/>
      </c>
      <c r="AJ50" s="41">
        <f>IF($A50="","",IF($P50="","",$N50-$Z50-$AB50))</f>
        <v/>
      </c>
      <c r="AK50" s="38">
        <f>IF($A50="","",IF(COUNTIF($A$6:$A$205,$A50)&gt;1,"Duplicate Trip ID",IF($P50="","Open",IF(COUNTIF('Opportunities'!$A$6:$A$205,$P50)=0,"Load ID not found",IF(COUNTIFS('Opportunities'!$A$6:$A$205,$P50,'Opportunities'!$B$6:$B$205,$A50)=0,"Trip mismatch",IF(COUNTIF($P$6:$P$205,$P50)&gt;1,"Duplicate selection",IF(AND(OR($O50="Booked",$O50="Completed"),AND($Q50&lt;&gt;"Booked",$Q50&lt;&gt;"Completed")),"Status mismatch","OK")))))))</f>
        <v/>
      </c>
      <c r="AL50" s="46" t="n"/>
    </row>
    <row r="51">
      <c r="A51" s="34" t="n"/>
      <c r="B51" s="34" t="n"/>
      <c r="C51" s="34" t="n"/>
      <c r="D51" s="34" t="n"/>
      <c r="E51" s="34" t="n"/>
      <c r="F51" s="34" t="n"/>
      <c r="G51" s="34" t="n"/>
      <c r="H51" s="69" t="n"/>
      <c r="I51" s="36" t="n"/>
      <c r="J51" s="69" t="n"/>
      <c r="K51" s="36" t="n"/>
      <c r="L51" s="34" t="n"/>
      <c r="M51" s="34" t="n"/>
      <c r="N51" s="37" t="n"/>
      <c r="O51" s="34" t="n"/>
      <c r="P51" s="34" t="n"/>
      <c r="Q51" s="38">
        <f>IF($A51="","",IF($P51="","",IFERROR(INDEX('Opportunities'!$C$6:$C$205,MATCH($P51,'Opportunities'!$A$6:$A$205,0)),"")))</f>
        <v/>
      </c>
      <c r="R51" s="38">
        <f>IF($A51="","",IF($P51="","",IFERROR(INDEX('Opportunities'!$D$6:$D$205,MATCH($P51,'Opportunities'!$A$6:$A$205,0)),"")))</f>
        <v/>
      </c>
      <c r="S51" s="38">
        <f>IF($A51="","",IF($P51="","",IFERROR(INDEX('Opportunities'!$E$6:$E$205,MATCH($P51,'Opportunities'!$A$6:$A$205,0)),"")))</f>
        <v/>
      </c>
      <c r="T51" s="38">
        <f>IF($A51="","",IF($P51="","",IFERROR(INDEX('Opportunities'!$F$6:$F$205,MATCH($P51,'Opportunities'!$A$6:$A$205,0)),"")))</f>
        <v/>
      </c>
      <c r="U51" s="70">
        <f>IF($A51="","",IF($P51="","",IFERROR(INDEX('Opportunities'!$G$6:$G$205,MATCH($P51,'Opportunities'!$A$6:$A$205,0)),"")))</f>
        <v/>
      </c>
      <c r="V51" s="40">
        <f>IF($A51="","",IF($P51="","",IFERROR(INDEX('Opportunities'!$H$6:$H$205,MATCH($P51,'Opportunities'!$A$6:$A$205,0)),"")))</f>
        <v/>
      </c>
      <c r="W51" s="38">
        <f>IF($A51="","",IF($P51="","",IFERROR(INDEX('Opportunities'!$I$6:$I$205,MATCH($P51,'Opportunities'!$A$6:$A$205,0)),"")))</f>
        <v/>
      </c>
      <c r="X51" s="38">
        <f>IF($A51="","",IF($P51="","",IFERROR(INDEX('Opportunities'!$J$6:$J$205,MATCH($P51,'Opportunities'!$A$6:$A$205,0)),"")))</f>
        <v/>
      </c>
      <c r="Y51" s="70">
        <f>IF($A51="","",IF($P51="","",IFERROR(INDEX('Opportunities'!$K$6:$K$205,MATCH($P51,'Opportunities'!$A$6:$A$205,0)),"")))</f>
        <v/>
      </c>
      <c r="Z51" s="41">
        <f>IF($A51="","",IF($P51="","",IFERROR(INDEX('Opportunities'!$O$6:$O$205,MATCH($P51,'Opportunities'!$A$6:$A$205,0)),"")))</f>
        <v/>
      </c>
      <c r="AA51" s="41">
        <f>IF($A51="","",IF($P51="","",IFERROR(INDEX('Opportunities'!$P$6:$P$205,MATCH($P51,'Opportunities'!$A$6:$A$205,0)),"")))</f>
        <v/>
      </c>
      <c r="AB51" s="41">
        <f>IF($A51="","",IF($P51="","",IFERROR(INDEX('Opportunities'!$Q$6:$Q$205,MATCH($P51,'Opportunities'!$A$6:$A$205,0)),"")))</f>
        <v/>
      </c>
      <c r="AC51" s="71">
        <f>IF($A51="","",IF($P51="","",IFERROR(INDEX('Opportunities'!$Z$6:$Z$205,MATCH($P51,'Opportunities'!$A$6:$A$205,0)),"")))</f>
        <v/>
      </c>
      <c r="AD51" s="71">
        <f>IF($A51="","",IF($P51="","",IFERROR(INDEX('Opportunities'!$AJ$6:$AJ$205,MATCH($P51,'Opportunities'!$A$6:$A$205,0)),"")))</f>
        <v/>
      </c>
      <c r="AE51" s="72">
        <f>IF($A51="","",IF($P51="","",IFERROR(INDEX('Opportunities'!$AA$6:$AA$205,MATCH($P51,'Opportunities'!$A$6:$A$205,0)),"")))</f>
        <v/>
      </c>
      <c r="AF51" s="73">
        <f>IF($A51="","",IF($P51="","",IFERROR(INDEX('Opportunities'!$AF$6:$AF$205,MATCH($P51,'Opportunities'!$A$6:$A$205,0)),"")))</f>
        <v/>
      </c>
      <c r="AG51" s="41">
        <f>IF($A51="","",IF($P51="","",IFERROR(INDEX('Opportunities'!$AB$6:$AB$205,MATCH($P51,'Opportunities'!$A$6:$A$205,0)),"")))</f>
        <v/>
      </c>
      <c r="AH51" s="74">
        <f>IF($A51="","",IF($P51="","",IFERROR(($U51+$V51-$J51-$K51)*24,0)))</f>
        <v/>
      </c>
      <c r="AI51" s="38">
        <f>IF($A51="","",IF($P51="","No load selected",IF($AH51&lt;IFERROR($Z51/'Settings'!$B$11,0)+'Settings'!$B$12,"Too tight",IF($AH51&gt;'Settings'!$B$13,"Long wait","Feasible"))))</f>
        <v/>
      </c>
      <c r="AJ51" s="41">
        <f>IF($A51="","",IF($P51="","",$N51-$Z51-$AB51))</f>
        <v/>
      </c>
      <c r="AK51" s="38">
        <f>IF($A51="","",IF(COUNTIF($A$6:$A$205,$A51)&gt;1,"Duplicate Trip ID",IF($P51="","Open",IF(COUNTIF('Opportunities'!$A$6:$A$205,$P51)=0,"Load ID not found",IF(COUNTIFS('Opportunities'!$A$6:$A$205,$P51,'Opportunities'!$B$6:$B$205,$A51)=0,"Trip mismatch",IF(COUNTIF($P$6:$P$205,$P51)&gt;1,"Duplicate selection",IF(AND(OR($O51="Booked",$O51="Completed"),AND($Q51&lt;&gt;"Booked",$Q51&lt;&gt;"Completed")),"Status mismatch","OK")))))))</f>
        <v/>
      </c>
      <c r="AL51" s="46" t="n"/>
    </row>
    <row r="52">
      <c r="A52" s="34" t="n"/>
      <c r="B52" s="34" t="n"/>
      <c r="C52" s="34" t="n"/>
      <c r="D52" s="34" t="n"/>
      <c r="E52" s="34" t="n"/>
      <c r="F52" s="34" t="n"/>
      <c r="G52" s="34" t="n"/>
      <c r="H52" s="69" t="n"/>
      <c r="I52" s="36" t="n"/>
      <c r="J52" s="69" t="n"/>
      <c r="K52" s="36" t="n"/>
      <c r="L52" s="34" t="n"/>
      <c r="M52" s="34" t="n"/>
      <c r="N52" s="37" t="n"/>
      <c r="O52" s="34" t="n"/>
      <c r="P52" s="34" t="n"/>
      <c r="Q52" s="38">
        <f>IF($A52="","",IF($P52="","",IFERROR(INDEX('Opportunities'!$C$6:$C$205,MATCH($P52,'Opportunities'!$A$6:$A$205,0)),"")))</f>
        <v/>
      </c>
      <c r="R52" s="38">
        <f>IF($A52="","",IF($P52="","",IFERROR(INDEX('Opportunities'!$D$6:$D$205,MATCH($P52,'Opportunities'!$A$6:$A$205,0)),"")))</f>
        <v/>
      </c>
      <c r="S52" s="38">
        <f>IF($A52="","",IF($P52="","",IFERROR(INDEX('Opportunities'!$E$6:$E$205,MATCH($P52,'Opportunities'!$A$6:$A$205,0)),"")))</f>
        <v/>
      </c>
      <c r="T52" s="38">
        <f>IF($A52="","",IF($P52="","",IFERROR(INDEX('Opportunities'!$F$6:$F$205,MATCH($P52,'Opportunities'!$A$6:$A$205,0)),"")))</f>
        <v/>
      </c>
      <c r="U52" s="70">
        <f>IF($A52="","",IF($P52="","",IFERROR(INDEX('Opportunities'!$G$6:$G$205,MATCH($P52,'Opportunities'!$A$6:$A$205,0)),"")))</f>
        <v/>
      </c>
      <c r="V52" s="40">
        <f>IF($A52="","",IF($P52="","",IFERROR(INDEX('Opportunities'!$H$6:$H$205,MATCH($P52,'Opportunities'!$A$6:$A$205,0)),"")))</f>
        <v/>
      </c>
      <c r="W52" s="38">
        <f>IF($A52="","",IF($P52="","",IFERROR(INDEX('Opportunities'!$I$6:$I$205,MATCH($P52,'Opportunities'!$A$6:$A$205,0)),"")))</f>
        <v/>
      </c>
      <c r="X52" s="38">
        <f>IF($A52="","",IF($P52="","",IFERROR(INDEX('Opportunities'!$J$6:$J$205,MATCH($P52,'Opportunities'!$A$6:$A$205,0)),"")))</f>
        <v/>
      </c>
      <c r="Y52" s="70">
        <f>IF($A52="","",IF($P52="","",IFERROR(INDEX('Opportunities'!$K$6:$K$205,MATCH($P52,'Opportunities'!$A$6:$A$205,0)),"")))</f>
        <v/>
      </c>
      <c r="Z52" s="41">
        <f>IF($A52="","",IF($P52="","",IFERROR(INDEX('Opportunities'!$O$6:$O$205,MATCH($P52,'Opportunities'!$A$6:$A$205,0)),"")))</f>
        <v/>
      </c>
      <c r="AA52" s="41">
        <f>IF($A52="","",IF($P52="","",IFERROR(INDEX('Opportunities'!$P$6:$P$205,MATCH($P52,'Opportunities'!$A$6:$A$205,0)),"")))</f>
        <v/>
      </c>
      <c r="AB52" s="41">
        <f>IF($A52="","",IF($P52="","",IFERROR(INDEX('Opportunities'!$Q$6:$Q$205,MATCH($P52,'Opportunities'!$A$6:$A$205,0)),"")))</f>
        <v/>
      </c>
      <c r="AC52" s="71">
        <f>IF($A52="","",IF($P52="","",IFERROR(INDEX('Opportunities'!$Z$6:$Z$205,MATCH($P52,'Opportunities'!$A$6:$A$205,0)),"")))</f>
        <v/>
      </c>
      <c r="AD52" s="71">
        <f>IF($A52="","",IF($P52="","",IFERROR(INDEX('Opportunities'!$AJ$6:$AJ$205,MATCH($P52,'Opportunities'!$A$6:$A$205,0)),"")))</f>
        <v/>
      </c>
      <c r="AE52" s="72">
        <f>IF($A52="","",IF($P52="","",IFERROR(INDEX('Opportunities'!$AA$6:$AA$205,MATCH($P52,'Opportunities'!$A$6:$A$205,0)),"")))</f>
        <v/>
      </c>
      <c r="AF52" s="73">
        <f>IF($A52="","",IF($P52="","",IFERROR(INDEX('Opportunities'!$AF$6:$AF$205,MATCH($P52,'Opportunities'!$A$6:$A$205,0)),"")))</f>
        <v/>
      </c>
      <c r="AG52" s="41">
        <f>IF($A52="","",IF($P52="","",IFERROR(INDEX('Opportunities'!$AB$6:$AB$205,MATCH($P52,'Opportunities'!$A$6:$A$205,0)),"")))</f>
        <v/>
      </c>
      <c r="AH52" s="74">
        <f>IF($A52="","",IF($P52="","",IFERROR(($U52+$V52-$J52-$K52)*24,0)))</f>
        <v/>
      </c>
      <c r="AI52" s="38">
        <f>IF($A52="","",IF($P52="","No load selected",IF($AH52&lt;IFERROR($Z52/'Settings'!$B$11,0)+'Settings'!$B$12,"Too tight",IF($AH52&gt;'Settings'!$B$13,"Long wait","Feasible"))))</f>
        <v/>
      </c>
      <c r="AJ52" s="41">
        <f>IF($A52="","",IF($P52="","",$N52-$Z52-$AB52))</f>
        <v/>
      </c>
      <c r="AK52" s="38">
        <f>IF($A52="","",IF(COUNTIF($A$6:$A$205,$A52)&gt;1,"Duplicate Trip ID",IF($P52="","Open",IF(COUNTIF('Opportunities'!$A$6:$A$205,$P52)=0,"Load ID not found",IF(COUNTIFS('Opportunities'!$A$6:$A$205,$P52,'Opportunities'!$B$6:$B$205,$A52)=0,"Trip mismatch",IF(COUNTIF($P$6:$P$205,$P52)&gt;1,"Duplicate selection",IF(AND(OR($O52="Booked",$O52="Completed"),AND($Q52&lt;&gt;"Booked",$Q52&lt;&gt;"Completed")),"Status mismatch","OK")))))))</f>
        <v/>
      </c>
      <c r="AL52" s="46" t="n"/>
    </row>
    <row r="53">
      <c r="A53" s="34" t="n"/>
      <c r="B53" s="34" t="n"/>
      <c r="C53" s="34" t="n"/>
      <c r="D53" s="34" t="n"/>
      <c r="E53" s="34" t="n"/>
      <c r="F53" s="34" t="n"/>
      <c r="G53" s="34" t="n"/>
      <c r="H53" s="69" t="n"/>
      <c r="I53" s="36" t="n"/>
      <c r="J53" s="69" t="n"/>
      <c r="K53" s="36" t="n"/>
      <c r="L53" s="34" t="n"/>
      <c r="M53" s="34" t="n"/>
      <c r="N53" s="37" t="n"/>
      <c r="O53" s="34" t="n"/>
      <c r="P53" s="34" t="n"/>
      <c r="Q53" s="38">
        <f>IF($A53="","",IF($P53="","",IFERROR(INDEX('Opportunities'!$C$6:$C$205,MATCH($P53,'Opportunities'!$A$6:$A$205,0)),"")))</f>
        <v/>
      </c>
      <c r="R53" s="38">
        <f>IF($A53="","",IF($P53="","",IFERROR(INDEX('Opportunities'!$D$6:$D$205,MATCH($P53,'Opportunities'!$A$6:$A$205,0)),"")))</f>
        <v/>
      </c>
      <c r="S53" s="38">
        <f>IF($A53="","",IF($P53="","",IFERROR(INDEX('Opportunities'!$E$6:$E$205,MATCH($P53,'Opportunities'!$A$6:$A$205,0)),"")))</f>
        <v/>
      </c>
      <c r="T53" s="38">
        <f>IF($A53="","",IF($P53="","",IFERROR(INDEX('Opportunities'!$F$6:$F$205,MATCH($P53,'Opportunities'!$A$6:$A$205,0)),"")))</f>
        <v/>
      </c>
      <c r="U53" s="70">
        <f>IF($A53="","",IF($P53="","",IFERROR(INDEX('Opportunities'!$G$6:$G$205,MATCH($P53,'Opportunities'!$A$6:$A$205,0)),"")))</f>
        <v/>
      </c>
      <c r="V53" s="40">
        <f>IF($A53="","",IF($P53="","",IFERROR(INDEX('Opportunities'!$H$6:$H$205,MATCH($P53,'Opportunities'!$A$6:$A$205,0)),"")))</f>
        <v/>
      </c>
      <c r="W53" s="38">
        <f>IF($A53="","",IF($P53="","",IFERROR(INDEX('Opportunities'!$I$6:$I$205,MATCH($P53,'Opportunities'!$A$6:$A$205,0)),"")))</f>
        <v/>
      </c>
      <c r="X53" s="38">
        <f>IF($A53="","",IF($P53="","",IFERROR(INDEX('Opportunities'!$J$6:$J$205,MATCH($P53,'Opportunities'!$A$6:$A$205,0)),"")))</f>
        <v/>
      </c>
      <c r="Y53" s="70">
        <f>IF($A53="","",IF($P53="","",IFERROR(INDEX('Opportunities'!$K$6:$K$205,MATCH($P53,'Opportunities'!$A$6:$A$205,0)),"")))</f>
        <v/>
      </c>
      <c r="Z53" s="41">
        <f>IF($A53="","",IF($P53="","",IFERROR(INDEX('Opportunities'!$O$6:$O$205,MATCH($P53,'Opportunities'!$A$6:$A$205,0)),"")))</f>
        <v/>
      </c>
      <c r="AA53" s="41">
        <f>IF($A53="","",IF($P53="","",IFERROR(INDEX('Opportunities'!$P$6:$P$205,MATCH($P53,'Opportunities'!$A$6:$A$205,0)),"")))</f>
        <v/>
      </c>
      <c r="AB53" s="41">
        <f>IF($A53="","",IF($P53="","",IFERROR(INDEX('Opportunities'!$Q$6:$Q$205,MATCH($P53,'Opportunities'!$A$6:$A$205,0)),"")))</f>
        <v/>
      </c>
      <c r="AC53" s="71">
        <f>IF($A53="","",IF($P53="","",IFERROR(INDEX('Opportunities'!$Z$6:$Z$205,MATCH($P53,'Opportunities'!$A$6:$A$205,0)),"")))</f>
        <v/>
      </c>
      <c r="AD53" s="71">
        <f>IF($A53="","",IF($P53="","",IFERROR(INDEX('Opportunities'!$AJ$6:$AJ$205,MATCH($P53,'Opportunities'!$A$6:$A$205,0)),"")))</f>
        <v/>
      </c>
      <c r="AE53" s="72">
        <f>IF($A53="","",IF($P53="","",IFERROR(INDEX('Opportunities'!$AA$6:$AA$205,MATCH($P53,'Opportunities'!$A$6:$A$205,0)),"")))</f>
        <v/>
      </c>
      <c r="AF53" s="73">
        <f>IF($A53="","",IF($P53="","",IFERROR(INDEX('Opportunities'!$AF$6:$AF$205,MATCH($P53,'Opportunities'!$A$6:$A$205,0)),"")))</f>
        <v/>
      </c>
      <c r="AG53" s="41">
        <f>IF($A53="","",IF($P53="","",IFERROR(INDEX('Opportunities'!$AB$6:$AB$205,MATCH($P53,'Opportunities'!$A$6:$A$205,0)),"")))</f>
        <v/>
      </c>
      <c r="AH53" s="74">
        <f>IF($A53="","",IF($P53="","",IFERROR(($U53+$V53-$J53-$K53)*24,0)))</f>
        <v/>
      </c>
      <c r="AI53" s="38">
        <f>IF($A53="","",IF($P53="","No load selected",IF($AH53&lt;IFERROR($Z53/'Settings'!$B$11,0)+'Settings'!$B$12,"Too tight",IF($AH53&gt;'Settings'!$B$13,"Long wait","Feasible"))))</f>
        <v/>
      </c>
      <c r="AJ53" s="41">
        <f>IF($A53="","",IF($P53="","",$N53-$Z53-$AB53))</f>
        <v/>
      </c>
      <c r="AK53" s="38">
        <f>IF($A53="","",IF(COUNTIF($A$6:$A$205,$A53)&gt;1,"Duplicate Trip ID",IF($P53="","Open",IF(COUNTIF('Opportunities'!$A$6:$A$205,$P53)=0,"Load ID not found",IF(COUNTIFS('Opportunities'!$A$6:$A$205,$P53,'Opportunities'!$B$6:$B$205,$A53)=0,"Trip mismatch",IF(COUNTIF($P$6:$P$205,$P53)&gt;1,"Duplicate selection",IF(AND(OR($O53="Booked",$O53="Completed"),AND($Q53&lt;&gt;"Booked",$Q53&lt;&gt;"Completed")),"Status mismatch","OK")))))))</f>
        <v/>
      </c>
      <c r="AL53" s="46" t="n"/>
    </row>
    <row r="54">
      <c r="A54" s="34" t="n"/>
      <c r="B54" s="34" t="n"/>
      <c r="C54" s="34" t="n"/>
      <c r="D54" s="34" t="n"/>
      <c r="E54" s="34" t="n"/>
      <c r="F54" s="34" t="n"/>
      <c r="G54" s="34" t="n"/>
      <c r="H54" s="69" t="n"/>
      <c r="I54" s="36" t="n"/>
      <c r="J54" s="69" t="n"/>
      <c r="K54" s="36" t="n"/>
      <c r="L54" s="34" t="n"/>
      <c r="M54" s="34" t="n"/>
      <c r="N54" s="37" t="n"/>
      <c r="O54" s="34" t="n"/>
      <c r="P54" s="34" t="n"/>
      <c r="Q54" s="38">
        <f>IF($A54="","",IF($P54="","",IFERROR(INDEX('Opportunities'!$C$6:$C$205,MATCH($P54,'Opportunities'!$A$6:$A$205,0)),"")))</f>
        <v/>
      </c>
      <c r="R54" s="38">
        <f>IF($A54="","",IF($P54="","",IFERROR(INDEX('Opportunities'!$D$6:$D$205,MATCH($P54,'Opportunities'!$A$6:$A$205,0)),"")))</f>
        <v/>
      </c>
      <c r="S54" s="38">
        <f>IF($A54="","",IF($P54="","",IFERROR(INDEX('Opportunities'!$E$6:$E$205,MATCH($P54,'Opportunities'!$A$6:$A$205,0)),"")))</f>
        <v/>
      </c>
      <c r="T54" s="38">
        <f>IF($A54="","",IF($P54="","",IFERROR(INDEX('Opportunities'!$F$6:$F$205,MATCH($P54,'Opportunities'!$A$6:$A$205,0)),"")))</f>
        <v/>
      </c>
      <c r="U54" s="70">
        <f>IF($A54="","",IF($P54="","",IFERROR(INDEX('Opportunities'!$G$6:$G$205,MATCH($P54,'Opportunities'!$A$6:$A$205,0)),"")))</f>
        <v/>
      </c>
      <c r="V54" s="40">
        <f>IF($A54="","",IF($P54="","",IFERROR(INDEX('Opportunities'!$H$6:$H$205,MATCH($P54,'Opportunities'!$A$6:$A$205,0)),"")))</f>
        <v/>
      </c>
      <c r="W54" s="38">
        <f>IF($A54="","",IF($P54="","",IFERROR(INDEX('Opportunities'!$I$6:$I$205,MATCH($P54,'Opportunities'!$A$6:$A$205,0)),"")))</f>
        <v/>
      </c>
      <c r="X54" s="38">
        <f>IF($A54="","",IF($P54="","",IFERROR(INDEX('Opportunities'!$J$6:$J$205,MATCH($P54,'Opportunities'!$A$6:$A$205,0)),"")))</f>
        <v/>
      </c>
      <c r="Y54" s="70">
        <f>IF($A54="","",IF($P54="","",IFERROR(INDEX('Opportunities'!$K$6:$K$205,MATCH($P54,'Opportunities'!$A$6:$A$205,0)),"")))</f>
        <v/>
      </c>
      <c r="Z54" s="41">
        <f>IF($A54="","",IF($P54="","",IFERROR(INDEX('Opportunities'!$O$6:$O$205,MATCH($P54,'Opportunities'!$A$6:$A$205,0)),"")))</f>
        <v/>
      </c>
      <c r="AA54" s="41">
        <f>IF($A54="","",IF($P54="","",IFERROR(INDEX('Opportunities'!$P$6:$P$205,MATCH($P54,'Opportunities'!$A$6:$A$205,0)),"")))</f>
        <v/>
      </c>
      <c r="AB54" s="41">
        <f>IF($A54="","",IF($P54="","",IFERROR(INDEX('Opportunities'!$Q$6:$Q$205,MATCH($P54,'Opportunities'!$A$6:$A$205,0)),"")))</f>
        <v/>
      </c>
      <c r="AC54" s="71">
        <f>IF($A54="","",IF($P54="","",IFERROR(INDEX('Opportunities'!$Z$6:$Z$205,MATCH($P54,'Opportunities'!$A$6:$A$205,0)),"")))</f>
        <v/>
      </c>
      <c r="AD54" s="71">
        <f>IF($A54="","",IF($P54="","",IFERROR(INDEX('Opportunities'!$AJ$6:$AJ$205,MATCH($P54,'Opportunities'!$A$6:$A$205,0)),"")))</f>
        <v/>
      </c>
      <c r="AE54" s="72">
        <f>IF($A54="","",IF($P54="","",IFERROR(INDEX('Opportunities'!$AA$6:$AA$205,MATCH($P54,'Opportunities'!$A$6:$A$205,0)),"")))</f>
        <v/>
      </c>
      <c r="AF54" s="73">
        <f>IF($A54="","",IF($P54="","",IFERROR(INDEX('Opportunities'!$AF$6:$AF$205,MATCH($P54,'Opportunities'!$A$6:$A$205,0)),"")))</f>
        <v/>
      </c>
      <c r="AG54" s="41">
        <f>IF($A54="","",IF($P54="","",IFERROR(INDEX('Opportunities'!$AB$6:$AB$205,MATCH($P54,'Opportunities'!$A$6:$A$205,0)),"")))</f>
        <v/>
      </c>
      <c r="AH54" s="74">
        <f>IF($A54="","",IF($P54="","",IFERROR(($U54+$V54-$J54-$K54)*24,0)))</f>
        <v/>
      </c>
      <c r="AI54" s="38">
        <f>IF($A54="","",IF($P54="","No load selected",IF($AH54&lt;IFERROR($Z54/'Settings'!$B$11,0)+'Settings'!$B$12,"Too tight",IF($AH54&gt;'Settings'!$B$13,"Long wait","Feasible"))))</f>
        <v/>
      </c>
      <c r="AJ54" s="41">
        <f>IF($A54="","",IF($P54="","",$N54-$Z54-$AB54))</f>
        <v/>
      </c>
      <c r="AK54" s="38">
        <f>IF($A54="","",IF(COUNTIF($A$6:$A$205,$A54)&gt;1,"Duplicate Trip ID",IF($P54="","Open",IF(COUNTIF('Opportunities'!$A$6:$A$205,$P54)=0,"Load ID not found",IF(COUNTIFS('Opportunities'!$A$6:$A$205,$P54,'Opportunities'!$B$6:$B$205,$A54)=0,"Trip mismatch",IF(COUNTIF($P$6:$P$205,$P54)&gt;1,"Duplicate selection",IF(AND(OR($O54="Booked",$O54="Completed"),AND($Q54&lt;&gt;"Booked",$Q54&lt;&gt;"Completed")),"Status mismatch","OK")))))))</f>
        <v/>
      </c>
      <c r="AL54" s="46" t="n"/>
    </row>
    <row r="55">
      <c r="A55" s="34" t="n"/>
      <c r="B55" s="34" t="n"/>
      <c r="C55" s="34" t="n"/>
      <c r="D55" s="34" t="n"/>
      <c r="E55" s="34" t="n"/>
      <c r="F55" s="34" t="n"/>
      <c r="G55" s="34" t="n"/>
      <c r="H55" s="69" t="n"/>
      <c r="I55" s="36" t="n"/>
      <c r="J55" s="69" t="n"/>
      <c r="K55" s="36" t="n"/>
      <c r="L55" s="34" t="n"/>
      <c r="M55" s="34" t="n"/>
      <c r="N55" s="37" t="n"/>
      <c r="O55" s="34" t="n"/>
      <c r="P55" s="34" t="n"/>
      <c r="Q55" s="38">
        <f>IF($A55="","",IF($P55="","",IFERROR(INDEX('Opportunities'!$C$6:$C$205,MATCH($P55,'Opportunities'!$A$6:$A$205,0)),"")))</f>
        <v/>
      </c>
      <c r="R55" s="38">
        <f>IF($A55="","",IF($P55="","",IFERROR(INDEX('Opportunities'!$D$6:$D$205,MATCH($P55,'Opportunities'!$A$6:$A$205,0)),"")))</f>
        <v/>
      </c>
      <c r="S55" s="38">
        <f>IF($A55="","",IF($P55="","",IFERROR(INDEX('Opportunities'!$E$6:$E$205,MATCH($P55,'Opportunities'!$A$6:$A$205,0)),"")))</f>
        <v/>
      </c>
      <c r="T55" s="38">
        <f>IF($A55="","",IF($P55="","",IFERROR(INDEX('Opportunities'!$F$6:$F$205,MATCH($P55,'Opportunities'!$A$6:$A$205,0)),"")))</f>
        <v/>
      </c>
      <c r="U55" s="70">
        <f>IF($A55="","",IF($P55="","",IFERROR(INDEX('Opportunities'!$G$6:$G$205,MATCH($P55,'Opportunities'!$A$6:$A$205,0)),"")))</f>
        <v/>
      </c>
      <c r="V55" s="40">
        <f>IF($A55="","",IF($P55="","",IFERROR(INDEX('Opportunities'!$H$6:$H$205,MATCH($P55,'Opportunities'!$A$6:$A$205,0)),"")))</f>
        <v/>
      </c>
      <c r="W55" s="38">
        <f>IF($A55="","",IF($P55="","",IFERROR(INDEX('Opportunities'!$I$6:$I$205,MATCH($P55,'Opportunities'!$A$6:$A$205,0)),"")))</f>
        <v/>
      </c>
      <c r="X55" s="38">
        <f>IF($A55="","",IF($P55="","",IFERROR(INDEX('Opportunities'!$J$6:$J$205,MATCH($P55,'Opportunities'!$A$6:$A$205,0)),"")))</f>
        <v/>
      </c>
      <c r="Y55" s="70">
        <f>IF($A55="","",IF($P55="","",IFERROR(INDEX('Opportunities'!$K$6:$K$205,MATCH($P55,'Opportunities'!$A$6:$A$205,0)),"")))</f>
        <v/>
      </c>
      <c r="Z55" s="41">
        <f>IF($A55="","",IF($P55="","",IFERROR(INDEX('Opportunities'!$O$6:$O$205,MATCH($P55,'Opportunities'!$A$6:$A$205,0)),"")))</f>
        <v/>
      </c>
      <c r="AA55" s="41">
        <f>IF($A55="","",IF($P55="","",IFERROR(INDEX('Opportunities'!$P$6:$P$205,MATCH($P55,'Opportunities'!$A$6:$A$205,0)),"")))</f>
        <v/>
      </c>
      <c r="AB55" s="41">
        <f>IF($A55="","",IF($P55="","",IFERROR(INDEX('Opportunities'!$Q$6:$Q$205,MATCH($P55,'Opportunities'!$A$6:$A$205,0)),"")))</f>
        <v/>
      </c>
      <c r="AC55" s="71">
        <f>IF($A55="","",IF($P55="","",IFERROR(INDEX('Opportunities'!$Z$6:$Z$205,MATCH($P55,'Opportunities'!$A$6:$A$205,0)),"")))</f>
        <v/>
      </c>
      <c r="AD55" s="71">
        <f>IF($A55="","",IF($P55="","",IFERROR(INDEX('Opportunities'!$AJ$6:$AJ$205,MATCH($P55,'Opportunities'!$A$6:$A$205,0)),"")))</f>
        <v/>
      </c>
      <c r="AE55" s="72">
        <f>IF($A55="","",IF($P55="","",IFERROR(INDEX('Opportunities'!$AA$6:$AA$205,MATCH($P55,'Opportunities'!$A$6:$A$205,0)),"")))</f>
        <v/>
      </c>
      <c r="AF55" s="73">
        <f>IF($A55="","",IF($P55="","",IFERROR(INDEX('Opportunities'!$AF$6:$AF$205,MATCH($P55,'Opportunities'!$A$6:$A$205,0)),"")))</f>
        <v/>
      </c>
      <c r="AG55" s="41">
        <f>IF($A55="","",IF($P55="","",IFERROR(INDEX('Opportunities'!$AB$6:$AB$205,MATCH($P55,'Opportunities'!$A$6:$A$205,0)),"")))</f>
        <v/>
      </c>
      <c r="AH55" s="74">
        <f>IF($A55="","",IF($P55="","",IFERROR(($U55+$V55-$J55-$K55)*24,0)))</f>
        <v/>
      </c>
      <c r="AI55" s="38">
        <f>IF($A55="","",IF($P55="","No load selected",IF($AH55&lt;IFERROR($Z55/'Settings'!$B$11,0)+'Settings'!$B$12,"Too tight",IF($AH55&gt;'Settings'!$B$13,"Long wait","Feasible"))))</f>
        <v/>
      </c>
      <c r="AJ55" s="41">
        <f>IF($A55="","",IF($P55="","",$N55-$Z55-$AB55))</f>
        <v/>
      </c>
      <c r="AK55" s="38">
        <f>IF($A55="","",IF(COUNTIF($A$6:$A$205,$A55)&gt;1,"Duplicate Trip ID",IF($P55="","Open",IF(COUNTIF('Opportunities'!$A$6:$A$205,$P55)=0,"Load ID not found",IF(COUNTIFS('Opportunities'!$A$6:$A$205,$P55,'Opportunities'!$B$6:$B$205,$A55)=0,"Trip mismatch",IF(COUNTIF($P$6:$P$205,$P55)&gt;1,"Duplicate selection",IF(AND(OR($O55="Booked",$O55="Completed"),AND($Q55&lt;&gt;"Booked",$Q55&lt;&gt;"Completed")),"Status mismatch","OK")))))))</f>
        <v/>
      </c>
      <c r="AL55" s="46" t="n"/>
    </row>
    <row r="56">
      <c r="A56" s="34" t="n"/>
      <c r="B56" s="34" t="n"/>
      <c r="C56" s="34" t="n"/>
      <c r="D56" s="34" t="n"/>
      <c r="E56" s="34" t="n"/>
      <c r="F56" s="34" t="n"/>
      <c r="G56" s="34" t="n"/>
      <c r="H56" s="69" t="n"/>
      <c r="I56" s="36" t="n"/>
      <c r="J56" s="69" t="n"/>
      <c r="K56" s="36" t="n"/>
      <c r="L56" s="34" t="n"/>
      <c r="M56" s="34" t="n"/>
      <c r="N56" s="37" t="n"/>
      <c r="O56" s="34" t="n"/>
      <c r="P56" s="34" t="n"/>
      <c r="Q56" s="38">
        <f>IF($A56="","",IF($P56="","",IFERROR(INDEX('Opportunities'!$C$6:$C$205,MATCH($P56,'Opportunities'!$A$6:$A$205,0)),"")))</f>
        <v/>
      </c>
      <c r="R56" s="38">
        <f>IF($A56="","",IF($P56="","",IFERROR(INDEX('Opportunities'!$D$6:$D$205,MATCH($P56,'Opportunities'!$A$6:$A$205,0)),"")))</f>
        <v/>
      </c>
      <c r="S56" s="38">
        <f>IF($A56="","",IF($P56="","",IFERROR(INDEX('Opportunities'!$E$6:$E$205,MATCH($P56,'Opportunities'!$A$6:$A$205,0)),"")))</f>
        <v/>
      </c>
      <c r="T56" s="38">
        <f>IF($A56="","",IF($P56="","",IFERROR(INDEX('Opportunities'!$F$6:$F$205,MATCH($P56,'Opportunities'!$A$6:$A$205,0)),"")))</f>
        <v/>
      </c>
      <c r="U56" s="70">
        <f>IF($A56="","",IF($P56="","",IFERROR(INDEX('Opportunities'!$G$6:$G$205,MATCH($P56,'Opportunities'!$A$6:$A$205,0)),"")))</f>
        <v/>
      </c>
      <c r="V56" s="40">
        <f>IF($A56="","",IF($P56="","",IFERROR(INDEX('Opportunities'!$H$6:$H$205,MATCH($P56,'Opportunities'!$A$6:$A$205,0)),"")))</f>
        <v/>
      </c>
      <c r="W56" s="38">
        <f>IF($A56="","",IF($P56="","",IFERROR(INDEX('Opportunities'!$I$6:$I$205,MATCH($P56,'Opportunities'!$A$6:$A$205,0)),"")))</f>
        <v/>
      </c>
      <c r="X56" s="38">
        <f>IF($A56="","",IF($P56="","",IFERROR(INDEX('Opportunities'!$J$6:$J$205,MATCH($P56,'Opportunities'!$A$6:$A$205,0)),"")))</f>
        <v/>
      </c>
      <c r="Y56" s="70">
        <f>IF($A56="","",IF($P56="","",IFERROR(INDEX('Opportunities'!$K$6:$K$205,MATCH($P56,'Opportunities'!$A$6:$A$205,0)),"")))</f>
        <v/>
      </c>
      <c r="Z56" s="41">
        <f>IF($A56="","",IF($P56="","",IFERROR(INDEX('Opportunities'!$O$6:$O$205,MATCH($P56,'Opportunities'!$A$6:$A$205,0)),"")))</f>
        <v/>
      </c>
      <c r="AA56" s="41">
        <f>IF($A56="","",IF($P56="","",IFERROR(INDEX('Opportunities'!$P$6:$P$205,MATCH($P56,'Opportunities'!$A$6:$A$205,0)),"")))</f>
        <v/>
      </c>
      <c r="AB56" s="41">
        <f>IF($A56="","",IF($P56="","",IFERROR(INDEX('Opportunities'!$Q$6:$Q$205,MATCH($P56,'Opportunities'!$A$6:$A$205,0)),"")))</f>
        <v/>
      </c>
      <c r="AC56" s="71">
        <f>IF($A56="","",IF($P56="","",IFERROR(INDEX('Opportunities'!$Z$6:$Z$205,MATCH($P56,'Opportunities'!$A$6:$A$205,0)),"")))</f>
        <v/>
      </c>
      <c r="AD56" s="71">
        <f>IF($A56="","",IF($P56="","",IFERROR(INDEX('Opportunities'!$AJ$6:$AJ$205,MATCH($P56,'Opportunities'!$A$6:$A$205,0)),"")))</f>
        <v/>
      </c>
      <c r="AE56" s="72">
        <f>IF($A56="","",IF($P56="","",IFERROR(INDEX('Opportunities'!$AA$6:$AA$205,MATCH($P56,'Opportunities'!$A$6:$A$205,0)),"")))</f>
        <v/>
      </c>
      <c r="AF56" s="73">
        <f>IF($A56="","",IF($P56="","",IFERROR(INDEX('Opportunities'!$AF$6:$AF$205,MATCH($P56,'Opportunities'!$A$6:$A$205,0)),"")))</f>
        <v/>
      </c>
      <c r="AG56" s="41">
        <f>IF($A56="","",IF($P56="","",IFERROR(INDEX('Opportunities'!$AB$6:$AB$205,MATCH($P56,'Opportunities'!$A$6:$A$205,0)),"")))</f>
        <v/>
      </c>
      <c r="AH56" s="74">
        <f>IF($A56="","",IF($P56="","",IFERROR(($U56+$V56-$J56-$K56)*24,0)))</f>
        <v/>
      </c>
      <c r="AI56" s="38">
        <f>IF($A56="","",IF($P56="","No load selected",IF($AH56&lt;IFERROR($Z56/'Settings'!$B$11,0)+'Settings'!$B$12,"Too tight",IF($AH56&gt;'Settings'!$B$13,"Long wait","Feasible"))))</f>
        <v/>
      </c>
      <c r="AJ56" s="41">
        <f>IF($A56="","",IF($P56="","",$N56-$Z56-$AB56))</f>
        <v/>
      </c>
      <c r="AK56" s="38">
        <f>IF($A56="","",IF(COUNTIF($A$6:$A$205,$A56)&gt;1,"Duplicate Trip ID",IF($P56="","Open",IF(COUNTIF('Opportunities'!$A$6:$A$205,$P56)=0,"Load ID not found",IF(COUNTIFS('Opportunities'!$A$6:$A$205,$P56,'Opportunities'!$B$6:$B$205,$A56)=0,"Trip mismatch",IF(COUNTIF($P$6:$P$205,$P56)&gt;1,"Duplicate selection",IF(AND(OR($O56="Booked",$O56="Completed"),AND($Q56&lt;&gt;"Booked",$Q56&lt;&gt;"Completed")),"Status mismatch","OK")))))))</f>
        <v/>
      </c>
      <c r="AL56" s="46" t="n"/>
    </row>
    <row r="57">
      <c r="A57" s="34" t="n"/>
      <c r="B57" s="34" t="n"/>
      <c r="C57" s="34" t="n"/>
      <c r="D57" s="34" t="n"/>
      <c r="E57" s="34" t="n"/>
      <c r="F57" s="34" t="n"/>
      <c r="G57" s="34" t="n"/>
      <c r="H57" s="69" t="n"/>
      <c r="I57" s="36" t="n"/>
      <c r="J57" s="69" t="n"/>
      <c r="K57" s="36" t="n"/>
      <c r="L57" s="34" t="n"/>
      <c r="M57" s="34" t="n"/>
      <c r="N57" s="37" t="n"/>
      <c r="O57" s="34" t="n"/>
      <c r="P57" s="34" t="n"/>
      <c r="Q57" s="38">
        <f>IF($A57="","",IF($P57="","",IFERROR(INDEX('Opportunities'!$C$6:$C$205,MATCH($P57,'Opportunities'!$A$6:$A$205,0)),"")))</f>
        <v/>
      </c>
      <c r="R57" s="38">
        <f>IF($A57="","",IF($P57="","",IFERROR(INDEX('Opportunities'!$D$6:$D$205,MATCH($P57,'Opportunities'!$A$6:$A$205,0)),"")))</f>
        <v/>
      </c>
      <c r="S57" s="38">
        <f>IF($A57="","",IF($P57="","",IFERROR(INDEX('Opportunities'!$E$6:$E$205,MATCH($P57,'Opportunities'!$A$6:$A$205,0)),"")))</f>
        <v/>
      </c>
      <c r="T57" s="38">
        <f>IF($A57="","",IF($P57="","",IFERROR(INDEX('Opportunities'!$F$6:$F$205,MATCH($P57,'Opportunities'!$A$6:$A$205,0)),"")))</f>
        <v/>
      </c>
      <c r="U57" s="70">
        <f>IF($A57="","",IF($P57="","",IFERROR(INDEX('Opportunities'!$G$6:$G$205,MATCH($P57,'Opportunities'!$A$6:$A$205,0)),"")))</f>
        <v/>
      </c>
      <c r="V57" s="40">
        <f>IF($A57="","",IF($P57="","",IFERROR(INDEX('Opportunities'!$H$6:$H$205,MATCH($P57,'Opportunities'!$A$6:$A$205,0)),"")))</f>
        <v/>
      </c>
      <c r="W57" s="38">
        <f>IF($A57="","",IF($P57="","",IFERROR(INDEX('Opportunities'!$I$6:$I$205,MATCH($P57,'Opportunities'!$A$6:$A$205,0)),"")))</f>
        <v/>
      </c>
      <c r="X57" s="38">
        <f>IF($A57="","",IF($P57="","",IFERROR(INDEX('Opportunities'!$J$6:$J$205,MATCH($P57,'Opportunities'!$A$6:$A$205,0)),"")))</f>
        <v/>
      </c>
      <c r="Y57" s="70">
        <f>IF($A57="","",IF($P57="","",IFERROR(INDEX('Opportunities'!$K$6:$K$205,MATCH($P57,'Opportunities'!$A$6:$A$205,0)),"")))</f>
        <v/>
      </c>
      <c r="Z57" s="41">
        <f>IF($A57="","",IF($P57="","",IFERROR(INDEX('Opportunities'!$O$6:$O$205,MATCH($P57,'Opportunities'!$A$6:$A$205,0)),"")))</f>
        <v/>
      </c>
      <c r="AA57" s="41">
        <f>IF($A57="","",IF($P57="","",IFERROR(INDEX('Opportunities'!$P$6:$P$205,MATCH($P57,'Opportunities'!$A$6:$A$205,0)),"")))</f>
        <v/>
      </c>
      <c r="AB57" s="41">
        <f>IF($A57="","",IF($P57="","",IFERROR(INDEX('Opportunities'!$Q$6:$Q$205,MATCH($P57,'Opportunities'!$A$6:$A$205,0)),"")))</f>
        <v/>
      </c>
      <c r="AC57" s="71">
        <f>IF($A57="","",IF($P57="","",IFERROR(INDEX('Opportunities'!$Z$6:$Z$205,MATCH($P57,'Opportunities'!$A$6:$A$205,0)),"")))</f>
        <v/>
      </c>
      <c r="AD57" s="71">
        <f>IF($A57="","",IF($P57="","",IFERROR(INDEX('Opportunities'!$AJ$6:$AJ$205,MATCH($P57,'Opportunities'!$A$6:$A$205,0)),"")))</f>
        <v/>
      </c>
      <c r="AE57" s="72">
        <f>IF($A57="","",IF($P57="","",IFERROR(INDEX('Opportunities'!$AA$6:$AA$205,MATCH($P57,'Opportunities'!$A$6:$A$205,0)),"")))</f>
        <v/>
      </c>
      <c r="AF57" s="73">
        <f>IF($A57="","",IF($P57="","",IFERROR(INDEX('Opportunities'!$AF$6:$AF$205,MATCH($P57,'Opportunities'!$A$6:$A$205,0)),"")))</f>
        <v/>
      </c>
      <c r="AG57" s="41">
        <f>IF($A57="","",IF($P57="","",IFERROR(INDEX('Opportunities'!$AB$6:$AB$205,MATCH($P57,'Opportunities'!$A$6:$A$205,0)),"")))</f>
        <v/>
      </c>
      <c r="AH57" s="74">
        <f>IF($A57="","",IF($P57="","",IFERROR(($U57+$V57-$J57-$K57)*24,0)))</f>
        <v/>
      </c>
      <c r="AI57" s="38">
        <f>IF($A57="","",IF($P57="","No load selected",IF($AH57&lt;IFERROR($Z57/'Settings'!$B$11,0)+'Settings'!$B$12,"Too tight",IF($AH57&gt;'Settings'!$B$13,"Long wait","Feasible"))))</f>
        <v/>
      </c>
      <c r="AJ57" s="41">
        <f>IF($A57="","",IF($P57="","",$N57-$Z57-$AB57))</f>
        <v/>
      </c>
      <c r="AK57" s="38">
        <f>IF($A57="","",IF(COUNTIF($A$6:$A$205,$A57)&gt;1,"Duplicate Trip ID",IF($P57="","Open",IF(COUNTIF('Opportunities'!$A$6:$A$205,$P57)=0,"Load ID not found",IF(COUNTIFS('Opportunities'!$A$6:$A$205,$P57,'Opportunities'!$B$6:$B$205,$A57)=0,"Trip mismatch",IF(COUNTIF($P$6:$P$205,$P57)&gt;1,"Duplicate selection",IF(AND(OR($O57="Booked",$O57="Completed"),AND($Q57&lt;&gt;"Booked",$Q57&lt;&gt;"Completed")),"Status mismatch","OK")))))))</f>
        <v/>
      </c>
      <c r="AL57" s="46" t="n"/>
    </row>
    <row r="58">
      <c r="A58" s="34" t="n"/>
      <c r="B58" s="34" t="n"/>
      <c r="C58" s="34" t="n"/>
      <c r="D58" s="34" t="n"/>
      <c r="E58" s="34" t="n"/>
      <c r="F58" s="34" t="n"/>
      <c r="G58" s="34" t="n"/>
      <c r="H58" s="69" t="n"/>
      <c r="I58" s="36" t="n"/>
      <c r="J58" s="69" t="n"/>
      <c r="K58" s="36" t="n"/>
      <c r="L58" s="34" t="n"/>
      <c r="M58" s="34" t="n"/>
      <c r="N58" s="37" t="n"/>
      <c r="O58" s="34" t="n"/>
      <c r="P58" s="34" t="n"/>
      <c r="Q58" s="38">
        <f>IF($A58="","",IF($P58="","",IFERROR(INDEX('Opportunities'!$C$6:$C$205,MATCH($P58,'Opportunities'!$A$6:$A$205,0)),"")))</f>
        <v/>
      </c>
      <c r="R58" s="38">
        <f>IF($A58="","",IF($P58="","",IFERROR(INDEX('Opportunities'!$D$6:$D$205,MATCH($P58,'Opportunities'!$A$6:$A$205,0)),"")))</f>
        <v/>
      </c>
      <c r="S58" s="38">
        <f>IF($A58="","",IF($P58="","",IFERROR(INDEX('Opportunities'!$E$6:$E$205,MATCH($P58,'Opportunities'!$A$6:$A$205,0)),"")))</f>
        <v/>
      </c>
      <c r="T58" s="38">
        <f>IF($A58="","",IF($P58="","",IFERROR(INDEX('Opportunities'!$F$6:$F$205,MATCH($P58,'Opportunities'!$A$6:$A$205,0)),"")))</f>
        <v/>
      </c>
      <c r="U58" s="70">
        <f>IF($A58="","",IF($P58="","",IFERROR(INDEX('Opportunities'!$G$6:$G$205,MATCH($P58,'Opportunities'!$A$6:$A$205,0)),"")))</f>
        <v/>
      </c>
      <c r="V58" s="40">
        <f>IF($A58="","",IF($P58="","",IFERROR(INDEX('Opportunities'!$H$6:$H$205,MATCH($P58,'Opportunities'!$A$6:$A$205,0)),"")))</f>
        <v/>
      </c>
      <c r="W58" s="38">
        <f>IF($A58="","",IF($P58="","",IFERROR(INDEX('Opportunities'!$I$6:$I$205,MATCH($P58,'Opportunities'!$A$6:$A$205,0)),"")))</f>
        <v/>
      </c>
      <c r="X58" s="38">
        <f>IF($A58="","",IF($P58="","",IFERROR(INDEX('Opportunities'!$J$6:$J$205,MATCH($P58,'Opportunities'!$A$6:$A$205,0)),"")))</f>
        <v/>
      </c>
      <c r="Y58" s="70">
        <f>IF($A58="","",IF($P58="","",IFERROR(INDEX('Opportunities'!$K$6:$K$205,MATCH($P58,'Opportunities'!$A$6:$A$205,0)),"")))</f>
        <v/>
      </c>
      <c r="Z58" s="41">
        <f>IF($A58="","",IF($P58="","",IFERROR(INDEX('Opportunities'!$O$6:$O$205,MATCH($P58,'Opportunities'!$A$6:$A$205,0)),"")))</f>
        <v/>
      </c>
      <c r="AA58" s="41">
        <f>IF($A58="","",IF($P58="","",IFERROR(INDEX('Opportunities'!$P$6:$P$205,MATCH($P58,'Opportunities'!$A$6:$A$205,0)),"")))</f>
        <v/>
      </c>
      <c r="AB58" s="41">
        <f>IF($A58="","",IF($P58="","",IFERROR(INDEX('Opportunities'!$Q$6:$Q$205,MATCH($P58,'Opportunities'!$A$6:$A$205,0)),"")))</f>
        <v/>
      </c>
      <c r="AC58" s="71">
        <f>IF($A58="","",IF($P58="","",IFERROR(INDEX('Opportunities'!$Z$6:$Z$205,MATCH($P58,'Opportunities'!$A$6:$A$205,0)),"")))</f>
        <v/>
      </c>
      <c r="AD58" s="71">
        <f>IF($A58="","",IF($P58="","",IFERROR(INDEX('Opportunities'!$AJ$6:$AJ$205,MATCH($P58,'Opportunities'!$A$6:$A$205,0)),"")))</f>
        <v/>
      </c>
      <c r="AE58" s="72">
        <f>IF($A58="","",IF($P58="","",IFERROR(INDEX('Opportunities'!$AA$6:$AA$205,MATCH($P58,'Opportunities'!$A$6:$A$205,0)),"")))</f>
        <v/>
      </c>
      <c r="AF58" s="73">
        <f>IF($A58="","",IF($P58="","",IFERROR(INDEX('Opportunities'!$AF$6:$AF$205,MATCH($P58,'Opportunities'!$A$6:$A$205,0)),"")))</f>
        <v/>
      </c>
      <c r="AG58" s="41">
        <f>IF($A58="","",IF($P58="","",IFERROR(INDEX('Opportunities'!$AB$6:$AB$205,MATCH($P58,'Opportunities'!$A$6:$A$205,0)),"")))</f>
        <v/>
      </c>
      <c r="AH58" s="74">
        <f>IF($A58="","",IF($P58="","",IFERROR(($U58+$V58-$J58-$K58)*24,0)))</f>
        <v/>
      </c>
      <c r="AI58" s="38">
        <f>IF($A58="","",IF($P58="","No load selected",IF($AH58&lt;IFERROR($Z58/'Settings'!$B$11,0)+'Settings'!$B$12,"Too tight",IF($AH58&gt;'Settings'!$B$13,"Long wait","Feasible"))))</f>
        <v/>
      </c>
      <c r="AJ58" s="41">
        <f>IF($A58="","",IF($P58="","",$N58-$Z58-$AB58))</f>
        <v/>
      </c>
      <c r="AK58" s="38">
        <f>IF($A58="","",IF(COUNTIF($A$6:$A$205,$A58)&gt;1,"Duplicate Trip ID",IF($P58="","Open",IF(COUNTIF('Opportunities'!$A$6:$A$205,$P58)=0,"Load ID not found",IF(COUNTIFS('Opportunities'!$A$6:$A$205,$P58,'Opportunities'!$B$6:$B$205,$A58)=0,"Trip mismatch",IF(COUNTIF($P$6:$P$205,$P58)&gt;1,"Duplicate selection",IF(AND(OR($O58="Booked",$O58="Completed"),AND($Q58&lt;&gt;"Booked",$Q58&lt;&gt;"Completed")),"Status mismatch","OK")))))))</f>
        <v/>
      </c>
      <c r="AL58" s="46" t="n"/>
    </row>
    <row r="59">
      <c r="A59" s="34" t="n"/>
      <c r="B59" s="34" t="n"/>
      <c r="C59" s="34" t="n"/>
      <c r="D59" s="34" t="n"/>
      <c r="E59" s="34" t="n"/>
      <c r="F59" s="34" t="n"/>
      <c r="G59" s="34" t="n"/>
      <c r="H59" s="69" t="n"/>
      <c r="I59" s="36" t="n"/>
      <c r="J59" s="69" t="n"/>
      <c r="K59" s="36" t="n"/>
      <c r="L59" s="34" t="n"/>
      <c r="M59" s="34" t="n"/>
      <c r="N59" s="37" t="n"/>
      <c r="O59" s="34" t="n"/>
      <c r="P59" s="34" t="n"/>
      <c r="Q59" s="38">
        <f>IF($A59="","",IF($P59="","",IFERROR(INDEX('Opportunities'!$C$6:$C$205,MATCH($P59,'Opportunities'!$A$6:$A$205,0)),"")))</f>
        <v/>
      </c>
      <c r="R59" s="38">
        <f>IF($A59="","",IF($P59="","",IFERROR(INDEX('Opportunities'!$D$6:$D$205,MATCH($P59,'Opportunities'!$A$6:$A$205,0)),"")))</f>
        <v/>
      </c>
      <c r="S59" s="38">
        <f>IF($A59="","",IF($P59="","",IFERROR(INDEX('Opportunities'!$E$6:$E$205,MATCH($P59,'Opportunities'!$A$6:$A$205,0)),"")))</f>
        <v/>
      </c>
      <c r="T59" s="38">
        <f>IF($A59="","",IF($P59="","",IFERROR(INDEX('Opportunities'!$F$6:$F$205,MATCH($P59,'Opportunities'!$A$6:$A$205,0)),"")))</f>
        <v/>
      </c>
      <c r="U59" s="70">
        <f>IF($A59="","",IF($P59="","",IFERROR(INDEX('Opportunities'!$G$6:$G$205,MATCH($P59,'Opportunities'!$A$6:$A$205,0)),"")))</f>
        <v/>
      </c>
      <c r="V59" s="40">
        <f>IF($A59="","",IF($P59="","",IFERROR(INDEX('Opportunities'!$H$6:$H$205,MATCH($P59,'Opportunities'!$A$6:$A$205,0)),"")))</f>
        <v/>
      </c>
      <c r="W59" s="38">
        <f>IF($A59="","",IF($P59="","",IFERROR(INDEX('Opportunities'!$I$6:$I$205,MATCH($P59,'Opportunities'!$A$6:$A$205,0)),"")))</f>
        <v/>
      </c>
      <c r="X59" s="38">
        <f>IF($A59="","",IF($P59="","",IFERROR(INDEX('Opportunities'!$J$6:$J$205,MATCH($P59,'Opportunities'!$A$6:$A$205,0)),"")))</f>
        <v/>
      </c>
      <c r="Y59" s="70">
        <f>IF($A59="","",IF($P59="","",IFERROR(INDEX('Opportunities'!$K$6:$K$205,MATCH($P59,'Opportunities'!$A$6:$A$205,0)),"")))</f>
        <v/>
      </c>
      <c r="Z59" s="41">
        <f>IF($A59="","",IF($P59="","",IFERROR(INDEX('Opportunities'!$O$6:$O$205,MATCH($P59,'Opportunities'!$A$6:$A$205,0)),"")))</f>
        <v/>
      </c>
      <c r="AA59" s="41">
        <f>IF($A59="","",IF($P59="","",IFERROR(INDEX('Opportunities'!$P$6:$P$205,MATCH($P59,'Opportunities'!$A$6:$A$205,0)),"")))</f>
        <v/>
      </c>
      <c r="AB59" s="41">
        <f>IF($A59="","",IF($P59="","",IFERROR(INDEX('Opportunities'!$Q$6:$Q$205,MATCH($P59,'Opportunities'!$A$6:$A$205,0)),"")))</f>
        <v/>
      </c>
      <c r="AC59" s="71">
        <f>IF($A59="","",IF($P59="","",IFERROR(INDEX('Opportunities'!$Z$6:$Z$205,MATCH($P59,'Opportunities'!$A$6:$A$205,0)),"")))</f>
        <v/>
      </c>
      <c r="AD59" s="71">
        <f>IF($A59="","",IF($P59="","",IFERROR(INDEX('Opportunities'!$AJ$6:$AJ$205,MATCH($P59,'Opportunities'!$A$6:$A$205,0)),"")))</f>
        <v/>
      </c>
      <c r="AE59" s="72">
        <f>IF($A59="","",IF($P59="","",IFERROR(INDEX('Opportunities'!$AA$6:$AA$205,MATCH($P59,'Opportunities'!$A$6:$A$205,0)),"")))</f>
        <v/>
      </c>
      <c r="AF59" s="73">
        <f>IF($A59="","",IF($P59="","",IFERROR(INDEX('Opportunities'!$AF$6:$AF$205,MATCH($P59,'Opportunities'!$A$6:$A$205,0)),"")))</f>
        <v/>
      </c>
      <c r="AG59" s="41">
        <f>IF($A59="","",IF($P59="","",IFERROR(INDEX('Opportunities'!$AB$6:$AB$205,MATCH($P59,'Opportunities'!$A$6:$A$205,0)),"")))</f>
        <v/>
      </c>
      <c r="AH59" s="74">
        <f>IF($A59="","",IF($P59="","",IFERROR(($U59+$V59-$J59-$K59)*24,0)))</f>
        <v/>
      </c>
      <c r="AI59" s="38">
        <f>IF($A59="","",IF($P59="","No load selected",IF($AH59&lt;IFERROR($Z59/'Settings'!$B$11,0)+'Settings'!$B$12,"Too tight",IF($AH59&gt;'Settings'!$B$13,"Long wait","Feasible"))))</f>
        <v/>
      </c>
      <c r="AJ59" s="41">
        <f>IF($A59="","",IF($P59="","",$N59-$Z59-$AB59))</f>
        <v/>
      </c>
      <c r="AK59" s="38">
        <f>IF($A59="","",IF(COUNTIF($A$6:$A$205,$A59)&gt;1,"Duplicate Trip ID",IF($P59="","Open",IF(COUNTIF('Opportunities'!$A$6:$A$205,$P59)=0,"Load ID not found",IF(COUNTIFS('Opportunities'!$A$6:$A$205,$P59,'Opportunities'!$B$6:$B$205,$A59)=0,"Trip mismatch",IF(COUNTIF($P$6:$P$205,$P59)&gt;1,"Duplicate selection",IF(AND(OR($O59="Booked",$O59="Completed"),AND($Q59&lt;&gt;"Booked",$Q59&lt;&gt;"Completed")),"Status mismatch","OK")))))))</f>
        <v/>
      </c>
      <c r="AL59" s="46" t="n"/>
    </row>
    <row r="60">
      <c r="A60" s="34" t="n"/>
      <c r="B60" s="34" t="n"/>
      <c r="C60" s="34" t="n"/>
      <c r="D60" s="34" t="n"/>
      <c r="E60" s="34" t="n"/>
      <c r="F60" s="34" t="n"/>
      <c r="G60" s="34" t="n"/>
      <c r="H60" s="69" t="n"/>
      <c r="I60" s="36" t="n"/>
      <c r="J60" s="69" t="n"/>
      <c r="K60" s="36" t="n"/>
      <c r="L60" s="34" t="n"/>
      <c r="M60" s="34" t="n"/>
      <c r="N60" s="37" t="n"/>
      <c r="O60" s="34" t="n"/>
      <c r="P60" s="34" t="n"/>
      <c r="Q60" s="38">
        <f>IF($A60="","",IF($P60="","",IFERROR(INDEX('Opportunities'!$C$6:$C$205,MATCH($P60,'Opportunities'!$A$6:$A$205,0)),"")))</f>
        <v/>
      </c>
      <c r="R60" s="38">
        <f>IF($A60="","",IF($P60="","",IFERROR(INDEX('Opportunities'!$D$6:$D$205,MATCH($P60,'Opportunities'!$A$6:$A$205,0)),"")))</f>
        <v/>
      </c>
      <c r="S60" s="38">
        <f>IF($A60="","",IF($P60="","",IFERROR(INDEX('Opportunities'!$E$6:$E$205,MATCH($P60,'Opportunities'!$A$6:$A$205,0)),"")))</f>
        <v/>
      </c>
      <c r="T60" s="38">
        <f>IF($A60="","",IF($P60="","",IFERROR(INDEX('Opportunities'!$F$6:$F$205,MATCH($P60,'Opportunities'!$A$6:$A$205,0)),"")))</f>
        <v/>
      </c>
      <c r="U60" s="70">
        <f>IF($A60="","",IF($P60="","",IFERROR(INDEX('Opportunities'!$G$6:$G$205,MATCH($P60,'Opportunities'!$A$6:$A$205,0)),"")))</f>
        <v/>
      </c>
      <c r="V60" s="40">
        <f>IF($A60="","",IF($P60="","",IFERROR(INDEX('Opportunities'!$H$6:$H$205,MATCH($P60,'Opportunities'!$A$6:$A$205,0)),"")))</f>
        <v/>
      </c>
      <c r="W60" s="38">
        <f>IF($A60="","",IF($P60="","",IFERROR(INDEX('Opportunities'!$I$6:$I$205,MATCH($P60,'Opportunities'!$A$6:$A$205,0)),"")))</f>
        <v/>
      </c>
      <c r="X60" s="38">
        <f>IF($A60="","",IF($P60="","",IFERROR(INDEX('Opportunities'!$J$6:$J$205,MATCH($P60,'Opportunities'!$A$6:$A$205,0)),"")))</f>
        <v/>
      </c>
      <c r="Y60" s="70">
        <f>IF($A60="","",IF($P60="","",IFERROR(INDEX('Opportunities'!$K$6:$K$205,MATCH($P60,'Opportunities'!$A$6:$A$205,0)),"")))</f>
        <v/>
      </c>
      <c r="Z60" s="41">
        <f>IF($A60="","",IF($P60="","",IFERROR(INDEX('Opportunities'!$O$6:$O$205,MATCH($P60,'Opportunities'!$A$6:$A$205,0)),"")))</f>
        <v/>
      </c>
      <c r="AA60" s="41">
        <f>IF($A60="","",IF($P60="","",IFERROR(INDEX('Opportunities'!$P$6:$P$205,MATCH($P60,'Opportunities'!$A$6:$A$205,0)),"")))</f>
        <v/>
      </c>
      <c r="AB60" s="41">
        <f>IF($A60="","",IF($P60="","",IFERROR(INDEX('Opportunities'!$Q$6:$Q$205,MATCH($P60,'Opportunities'!$A$6:$A$205,0)),"")))</f>
        <v/>
      </c>
      <c r="AC60" s="71">
        <f>IF($A60="","",IF($P60="","",IFERROR(INDEX('Opportunities'!$Z$6:$Z$205,MATCH($P60,'Opportunities'!$A$6:$A$205,0)),"")))</f>
        <v/>
      </c>
      <c r="AD60" s="71">
        <f>IF($A60="","",IF($P60="","",IFERROR(INDEX('Opportunities'!$AJ$6:$AJ$205,MATCH($P60,'Opportunities'!$A$6:$A$205,0)),"")))</f>
        <v/>
      </c>
      <c r="AE60" s="72">
        <f>IF($A60="","",IF($P60="","",IFERROR(INDEX('Opportunities'!$AA$6:$AA$205,MATCH($P60,'Opportunities'!$A$6:$A$205,0)),"")))</f>
        <v/>
      </c>
      <c r="AF60" s="73">
        <f>IF($A60="","",IF($P60="","",IFERROR(INDEX('Opportunities'!$AF$6:$AF$205,MATCH($P60,'Opportunities'!$A$6:$A$205,0)),"")))</f>
        <v/>
      </c>
      <c r="AG60" s="41">
        <f>IF($A60="","",IF($P60="","",IFERROR(INDEX('Opportunities'!$AB$6:$AB$205,MATCH($P60,'Opportunities'!$A$6:$A$205,0)),"")))</f>
        <v/>
      </c>
      <c r="AH60" s="74">
        <f>IF($A60="","",IF($P60="","",IFERROR(($U60+$V60-$J60-$K60)*24,0)))</f>
        <v/>
      </c>
      <c r="AI60" s="38">
        <f>IF($A60="","",IF($P60="","No load selected",IF($AH60&lt;IFERROR($Z60/'Settings'!$B$11,0)+'Settings'!$B$12,"Too tight",IF($AH60&gt;'Settings'!$B$13,"Long wait","Feasible"))))</f>
        <v/>
      </c>
      <c r="AJ60" s="41">
        <f>IF($A60="","",IF($P60="","",$N60-$Z60-$AB60))</f>
        <v/>
      </c>
      <c r="AK60" s="38">
        <f>IF($A60="","",IF(COUNTIF($A$6:$A$205,$A60)&gt;1,"Duplicate Trip ID",IF($P60="","Open",IF(COUNTIF('Opportunities'!$A$6:$A$205,$P60)=0,"Load ID not found",IF(COUNTIFS('Opportunities'!$A$6:$A$205,$P60,'Opportunities'!$B$6:$B$205,$A60)=0,"Trip mismatch",IF(COUNTIF($P$6:$P$205,$P60)&gt;1,"Duplicate selection",IF(AND(OR($O60="Booked",$O60="Completed"),AND($Q60&lt;&gt;"Booked",$Q60&lt;&gt;"Completed")),"Status mismatch","OK")))))))</f>
        <v/>
      </c>
      <c r="AL60" s="46" t="n"/>
    </row>
    <row r="61">
      <c r="A61" s="34" t="n"/>
      <c r="B61" s="34" t="n"/>
      <c r="C61" s="34" t="n"/>
      <c r="D61" s="34" t="n"/>
      <c r="E61" s="34" t="n"/>
      <c r="F61" s="34" t="n"/>
      <c r="G61" s="34" t="n"/>
      <c r="H61" s="69" t="n"/>
      <c r="I61" s="36" t="n"/>
      <c r="J61" s="69" t="n"/>
      <c r="K61" s="36" t="n"/>
      <c r="L61" s="34" t="n"/>
      <c r="M61" s="34" t="n"/>
      <c r="N61" s="37" t="n"/>
      <c r="O61" s="34" t="n"/>
      <c r="P61" s="34" t="n"/>
      <c r="Q61" s="38">
        <f>IF($A61="","",IF($P61="","",IFERROR(INDEX('Opportunities'!$C$6:$C$205,MATCH($P61,'Opportunities'!$A$6:$A$205,0)),"")))</f>
        <v/>
      </c>
      <c r="R61" s="38">
        <f>IF($A61="","",IF($P61="","",IFERROR(INDEX('Opportunities'!$D$6:$D$205,MATCH($P61,'Opportunities'!$A$6:$A$205,0)),"")))</f>
        <v/>
      </c>
      <c r="S61" s="38">
        <f>IF($A61="","",IF($P61="","",IFERROR(INDEX('Opportunities'!$E$6:$E$205,MATCH($P61,'Opportunities'!$A$6:$A$205,0)),"")))</f>
        <v/>
      </c>
      <c r="T61" s="38">
        <f>IF($A61="","",IF($P61="","",IFERROR(INDEX('Opportunities'!$F$6:$F$205,MATCH($P61,'Opportunities'!$A$6:$A$205,0)),"")))</f>
        <v/>
      </c>
      <c r="U61" s="70">
        <f>IF($A61="","",IF($P61="","",IFERROR(INDEX('Opportunities'!$G$6:$G$205,MATCH($P61,'Opportunities'!$A$6:$A$205,0)),"")))</f>
        <v/>
      </c>
      <c r="V61" s="40">
        <f>IF($A61="","",IF($P61="","",IFERROR(INDEX('Opportunities'!$H$6:$H$205,MATCH($P61,'Opportunities'!$A$6:$A$205,0)),"")))</f>
        <v/>
      </c>
      <c r="W61" s="38">
        <f>IF($A61="","",IF($P61="","",IFERROR(INDEX('Opportunities'!$I$6:$I$205,MATCH($P61,'Opportunities'!$A$6:$A$205,0)),"")))</f>
        <v/>
      </c>
      <c r="X61" s="38">
        <f>IF($A61="","",IF($P61="","",IFERROR(INDEX('Opportunities'!$J$6:$J$205,MATCH($P61,'Opportunities'!$A$6:$A$205,0)),"")))</f>
        <v/>
      </c>
      <c r="Y61" s="70">
        <f>IF($A61="","",IF($P61="","",IFERROR(INDEX('Opportunities'!$K$6:$K$205,MATCH($P61,'Opportunities'!$A$6:$A$205,0)),"")))</f>
        <v/>
      </c>
      <c r="Z61" s="41">
        <f>IF($A61="","",IF($P61="","",IFERROR(INDEX('Opportunities'!$O$6:$O$205,MATCH($P61,'Opportunities'!$A$6:$A$205,0)),"")))</f>
        <v/>
      </c>
      <c r="AA61" s="41">
        <f>IF($A61="","",IF($P61="","",IFERROR(INDEX('Opportunities'!$P$6:$P$205,MATCH($P61,'Opportunities'!$A$6:$A$205,0)),"")))</f>
        <v/>
      </c>
      <c r="AB61" s="41">
        <f>IF($A61="","",IF($P61="","",IFERROR(INDEX('Opportunities'!$Q$6:$Q$205,MATCH($P61,'Opportunities'!$A$6:$A$205,0)),"")))</f>
        <v/>
      </c>
      <c r="AC61" s="71">
        <f>IF($A61="","",IF($P61="","",IFERROR(INDEX('Opportunities'!$Z$6:$Z$205,MATCH($P61,'Opportunities'!$A$6:$A$205,0)),"")))</f>
        <v/>
      </c>
      <c r="AD61" s="71">
        <f>IF($A61="","",IF($P61="","",IFERROR(INDEX('Opportunities'!$AJ$6:$AJ$205,MATCH($P61,'Opportunities'!$A$6:$A$205,0)),"")))</f>
        <v/>
      </c>
      <c r="AE61" s="72">
        <f>IF($A61="","",IF($P61="","",IFERROR(INDEX('Opportunities'!$AA$6:$AA$205,MATCH($P61,'Opportunities'!$A$6:$A$205,0)),"")))</f>
        <v/>
      </c>
      <c r="AF61" s="73">
        <f>IF($A61="","",IF($P61="","",IFERROR(INDEX('Opportunities'!$AF$6:$AF$205,MATCH($P61,'Opportunities'!$A$6:$A$205,0)),"")))</f>
        <v/>
      </c>
      <c r="AG61" s="41">
        <f>IF($A61="","",IF($P61="","",IFERROR(INDEX('Opportunities'!$AB$6:$AB$205,MATCH($P61,'Opportunities'!$A$6:$A$205,0)),"")))</f>
        <v/>
      </c>
      <c r="AH61" s="74">
        <f>IF($A61="","",IF($P61="","",IFERROR(($U61+$V61-$J61-$K61)*24,0)))</f>
        <v/>
      </c>
      <c r="AI61" s="38">
        <f>IF($A61="","",IF($P61="","No load selected",IF($AH61&lt;IFERROR($Z61/'Settings'!$B$11,0)+'Settings'!$B$12,"Too tight",IF($AH61&gt;'Settings'!$B$13,"Long wait","Feasible"))))</f>
        <v/>
      </c>
      <c r="AJ61" s="41">
        <f>IF($A61="","",IF($P61="","",$N61-$Z61-$AB61))</f>
        <v/>
      </c>
      <c r="AK61" s="38">
        <f>IF($A61="","",IF(COUNTIF($A$6:$A$205,$A61)&gt;1,"Duplicate Trip ID",IF($P61="","Open",IF(COUNTIF('Opportunities'!$A$6:$A$205,$P61)=0,"Load ID not found",IF(COUNTIFS('Opportunities'!$A$6:$A$205,$P61,'Opportunities'!$B$6:$B$205,$A61)=0,"Trip mismatch",IF(COUNTIF($P$6:$P$205,$P61)&gt;1,"Duplicate selection",IF(AND(OR($O61="Booked",$O61="Completed"),AND($Q61&lt;&gt;"Booked",$Q61&lt;&gt;"Completed")),"Status mismatch","OK")))))))</f>
        <v/>
      </c>
      <c r="AL61" s="46" t="n"/>
    </row>
    <row r="62">
      <c r="A62" s="34" t="n"/>
      <c r="B62" s="34" t="n"/>
      <c r="C62" s="34" t="n"/>
      <c r="D62" s="34" t="n"/>
      <c r="E62" s="34" t="n"/>
      <c r="F62" s="34" t="n"/>
      <c r="G62" s="34" t="n"/>
      <c r="H62" s="69" t="n"/>
      <c r="I62" s="36" t="n"/>
      <c r="J62" s="69" t="n"/>
      <c r="K62" s="36" t="n"/>
      <c r="L62" s="34" t="n"/>
      <c r="M62" s="34" t="n"/>
      <c r="N62" s="37" t="n"/>
      <c r="O62" s="34" t="n"/>
      <c r="P62" s="34" t="n"/>
      <c r="Q62" s="38">
        <f>IF($A62="","",IF($P62="","",IFERROR(INDEX('Opportunities'!$C$6:$C$205,MATCH($P62,'Opportunities'!$A$6:$A$205,0)),"")))</f>
        <v/>
      </c>
      <c r="R62" s="38">
        <f>IF($A62="","",IF($P62="","",IFERROR(INDEX('Opportunities'!$D$6:$D$205,MATCH($P62,'Opportunities'!$A$6:$A$205,0)),"")))</f>
        <v/>
      </c>
      <c r="S62" s="38">
        <f>IF($A62="","",IF($P62="","",IFERROR(INDEX('Opportunities'!$E$6:$E$205,MATCH($P62,'Opportunities'!$A$6:$A$205,0)),"")))</f>
        <v/>
      </c>
      <c r="T62" s="38">
        <f>IF($A62="","",IF($P62="","",IFERROR(INDEX('Opportunities'!$F$6:$F$205,MATCH($P62,'Opportunities'!$A$6:$A$205,0)),"")))</f>
        <v/>
      </c>
      <c r="U62" s="70">
        <f>IF($A62="","",IF($P62="","",IFERROR(INDEX('Opportunities'!$G$6:$G$205,MATCH($P62,'Opportunities'!$A$6:$A$205,0)),"")))</f>
        <v/>
      </c>
      <c r="V62" s="40">
        <f>IF($A62="","",IF($P62="","",IFERROR(INDEX('Opportunities'!$H$6:$H$205,MATCH($P62,'Opportunities'!$A$6:$A$205,0)),"")))</f>
        <v/>
      </c>
      <c r="W62" s="38">
        <f>IF($A62="","",IF($P62="","",IFERROR(INDEX('Opportunities'!$I$6:$I$205,MATCH($P62,'Opportunities'!$A$6:$A$205,0)),"")))</f>
        <v/>
      </c>
      <c r="X62" s="38">
        <f>IF($A62="","",IF($P62="","",IFERROR(INDEX('Opportunities'!$J$6:$J$205,MATCH($P62,'Opportunities'!$A$6:$A$205,0)),"")))</f>
        <v/>
      </c>
      <c r="Y62" s="70">
        <f>IF($A62="","",IF($P62="","",IFERROR(INDEX('Opportunities'!$K$6:$K$205,MATCH($P62,'Opportunities'!$A$6:$A$205,0)),"")))</f>
        <v/>
      </c>
      <c r="Z62" s="41">
        <f>IF($A62="","",IF($P62="","",IFERROR(INDEX('Opportunities'!$O$6:$O$205,MATCH($P62,'Opportunities'!$A$6:$A$205,0)),"")))</f>
        <v/>
      </c>
      <c r="AA62" s="41">
        <f>IF($A62="","",IF($P62="","",IFERROR(INDEX('Opportunities'!$P$6:$P$205,MATCH($P62,'Opportunities'!$A$6:$A$205,0)),"")))</f>
        <v/>
      </c>
      <c r="AB62" s="41">
        <f>IF($A62="","",IF($P62="","",IFERROR(INDEX('Opportunities'!$Q$6:$Q$205,MATCH($P62,'Opportunities'!$A$6:$A$205,0)),"")))</f>
        <v/>
      </c>
      <c r="AC62" s="71">
        <f>IF($A62="","",IF($P62="","",IFERROR(INDEX('Opportunities'!$Z$6:$Z$205,MATCH($P62,'Opportunities'!$A$6:$A$205,0)),"")))</f>
        <v/>
      </c>
      <c r="AD62" s="71">
        <f>IF($A62="","",IF($P62="","",IFERROR(INDEX('Opportunities'!$AJ$6:$AJ$205,MATCH($P62,'Opportunities'!$A$6:$A$205,0)),"")))</f>
        <v/>
      </c>
      <c r="AE62" s="72">
        <f>IF($A62="","",IF($P62="","",IFERROR(INDEX('Opportunities'!$AA$6:$AA$205,MATCH($P62,'Opportunities'!$A$6:$A$205,0)),"")))</f>
        <v/>
      </c>
      <c r="AF62" s="73">
        <f>IF($A62="","",IF($P62="","",IFERROR(INDEX('Opportunities'!$AF$6:$AF$205,MATCH($P62,'Opportunities'!$A$6:$A$205,0)),"")))</f>
        <v/>
      </c>
      <c r="AG62" s="41">
        <f>IF($A62="","",IF($P62="","",IFERROR(INDEX('Opportunities'!$AB$6:$AB$205,MATCH($P62,'Opportunities'!$A$6:$A$205,0)),"")))</f>
        <v/>
      </c>
      <c r="AH62" s="74">
        <f>IF($A62="","",IF($P62="","",IFERROR(($U62+$V62-$J62-$K62)*24,0)))</f>
        <v/>
      </c>
      <c r="AI62" s="38">
        <f>IF($A62="","",IF($P62="","No load selected",IF($AH62&lt;IFERROR($Z62/'Settings'!$B$11,0)+'Settings'!$B$12,"Too tight",IF($AH62&gt;'Settings'!$B$13,"Long wait","Feasible"))))</f>
        <v/>
      </c>
      <c r="AJ62" s="41">
        <f>IF($A62="","",IF($P62="","",$N62-$Z62-$AB62))</f>
        <v/>
      </c>
      <c r="AK62" s="38">
        <f>IF($A62="","",IF(COUNTIF($A$6:$A$205,$A62)&gt;1,"Duplicate Trip ID",IF($P62="","Open",IF(COUNTIF('Opportunities'!$A$6:$A$205,$P62)=0,"Load ID not found",IF(COUNTIFS('Opportunities'!$A$6:$A$205,$P62,'Opportunities'!$B$6:$B$205,$A62)=0,"Trip mismatch",IF(COUNTIF($P$6:$P$205,$P62)&gt;1,"Duplicate selection",IF(AND(OR($O62="Booked",$O62="Completed"),AND($Q62&lt;&gt;"Booked",$Q62&lt;&gt;"Completed")),"Status mismatch","OK")))))))</f>
        <v/>
      </c>
      <c r="AL62" s="46" t="n"/>
    </row>
    <row r="63">
      <c r="A63" s="34" t="n"/>
      <c r="B63" s="34" t="n"/>
      <c r="C63" s="34" t="n"/>
      <c r="D63" s="34" t="n"/>
      <c r="E63" s="34" t="n"/>
      <c r="F63" s="34" t="n"/>
      <c r="G63" s="34" t="n"/>
      <c r="H63" s="69" t="n"/>
      <c r="I63" s="36" t="n"/>
      <c r="J63" s="69" t="n"/>
      <c r="K63" s="36" t="n"/>
      <c r="L63" s="34" t="n"/>
      <c r="M63" s="34" t="n"/>
      <c r="N63" s="37" t="n"/>
      <c r="O63" s="34" t="n"/>
      <c r="P63" s="34" t="n"/>
      <c r="Q63" s="38">
        <f>IF($A63="","",IF($P63="","",IFERROR(INDEX('Opportunities'!$C$6:$C$205,MATCH($P63,'Opportunities'!$A$6:$A$205,0)),"")))</f>
        <v/>
      </c>
      <c r="R63" s="38">
        <f>IF($A63="","",IF($P63="","",IFERROR(INDEX('Opportunities'!$D$6:$D$205,MATCH($P63,'Opportunities'!$A$6:$A$205,0)),"")))</f>
        <v/>
      </c>
      <c r="S63" s="38">
        <f>IF($A63="","",IF($P63="","",IFERROR(INDEX('Opportunities'!$E$6:$E$205,MATCH($P63,'Opportunities'!$A$6:$A$205,0)),"")))</f>
        <v/>
      </c>
      <c r="T63" s="38">
        <f>IF($A63="","",IF($P63="","",IFERROR(INDEX('Opportunities'!$F$6:$F$205,MATCH($P63,'Opportunities'!$A$6:$A$205,0)),"")))</f>
        <v/>
      </c>
      <c r="U63" s="70">
        <f>IF($A63="","",IF($P63="","",IFERROR(INDEX('Opportunities'!$G$6:$G$205,MATCH($P63,'Opportunities'!$A$6:$A$205,0)),"")))</f>
        <v/>
      </c>
      <c r="V63" s="40">
        <f>IF($A63="","",IF($P63="","",IFERROR(INDEX('Opportunities'!$H$6:$H$205,MATCH($P63,'Opportunities'!$A$6:$A$205,0)),"")))</f>
        <v/>
      </c>
      <c r="W63" s="38">
        <f>IF($A63="","",IF($P63="","",IFERROR(INDEX('Opportunities'!$I$6:$I$205,MATCH($P63,'Opportunities'!$A$6:$A$205,0)),"")))</f>
        <v/>
      </c>
      <c r="X63" s="38">
        <f>IF($A63="","",IF($P63="","",IFERROR(INDEX('Opportunities'!$J$6:$J$205,MATCH($P63,'Opportunities'!$A$6:$A$205,0)),"")))</f>
        <v/>
      </c>
      <c r="Y63" s="70">
        <f>IF($A63="","",IF($P63="","",IFERROR(INDEX('Opportunities'!$K$6:$K$205,MATCH($P63,'Opportunities'!$A$6:$A$205,0)),"")))</f>
        <v/>
      </c>
      <c r="Z63" s="41">
        <f>IF($A63="","",IF($P63="","",IFERROR(INDEX('Opportunities'!$O$6:$O$205,MATCH($P63,'Opportunities'!$A$6:$A$205,0)),"")))</f>
        <v/>
      </c>
      <c r="AA63" s="41">
        <f>IF($A63="","",IF($P63="","",IFERROR(INDEX('Opportunities'!$P$6:$P$205,MATCH($P63,'Opportunities'!$A$6:$A$205,0)),"")))</f>
        <v/>
      </c>
      <c r="AB63" s="41">
        <f>IF($A63="","",IF($P63="","",IFERROR(INDEX('Opportunities'!$Q$6:$Q$205,MATCH($P63,'Opportunities'!$A$6:$A$205,0)),"")))</f>
        <v/>
      </c>
      <c r="AC63" s="71">
        <f>IF($A63="","",IF($P63="","",IFERROR(INDEX('Opportunities'!$Z$6:$Z$205,MATCH($P63,'Opportunities'!$A$6:$A$205,0)),"")))</f>
        <v/>
      </c>
      <c r="AD63" s="71">
        <f>IF($A63="","",IF($P63="","",IFERROR(INDEX('Opportunities'!$AJ$6:$AJ$205,MATCH($P63,'Opportunities'!$A$6:$A$205,0)),"")))</f>
        <v/>
      </c>
      <c r="AE63" s="72">
        <f>IF($A63="","",IF($P63="","",IFERROR(INDEX('Opportunities'!$AA$6:$AA$205,MATCH($P63,'Opportunities'!$A$6:$A$205,0)),"")))</f>
        <v/>
      </c>
      <c r="AF63" s="73">
        <f>IF($A63="","",IF($P63="","",IFERROR(INDEX('Opportunities'!$AF$6:$AF$205,MATCH($P63,'Opportunities'!$A$6:$A$205,0)),"")))</f>
        <v/>
      </c>
      <c r="AG63" s="41">
        <f>IF($A63="","",IF($P63="","",IFERROR(INDEX('Opportunities'!$AB$6:$AB$205,MATCH($P63,'Opportunities'!$A$6:$A$205,0)),"")))</f>
        <v/>
      </c>
      <c r="AH63" s="74">
        <f>IF($A63="","",IF($P63="","",IFERROR(($U63+$V63-$J63-$K63)*24,0)))</f>
        <v/>
      </c>
      <c r="AI63" s="38">
        <f>IF($A63="","",IF($P63="","No load selected",IF($AH63&lt;IFERROR($Z63/'Settings'!$B$11,0)+'Settings'!$B$12,"Too tight",IF($AH63&gt;'Settings'!$B$13,"Long wait","Feasible"))))</f>
        <v/>
      </c>
      <c r="AJ63" s="41">
        <f>IF($A63="","",IF($P63="","",$N63-$Z63-$AB63))</f>
        <v/>
      </c>
      <c r="AK63" s="38">
        <f>IF($A63="","",IF(COUNTIF($A$6:$A$205,$A63)&gt;1,"Duplicate Trip ID",IF($P63="","Open",IF(COUNTIF('Opportunities'!$A$6:$A$205,$P63)=0,"Load ID not found",IF(COUNTIFS('Opportunities'!$A$6:$A$205,$P63,'Opportunities'!$B$6:$B$205,$A63)=0,"Trip mismatch",IF(COUNTIF($P$6:$P$205,$P63)&gt;1,"Duplicate selection",IF(AND(OR($O63="Booked",$O63="Completed"),AND($Q63&lt;&gt;"Booked",$Q63&lt;&gt;"Completed")),"Status mismatch","OK")))))))</f>
        <v/>
      </c>
      <c r="AL63" s="46" t="n"/>
    </row>
    <row r="64">
      <c r="A64" s="34" t="n"/>
      <c r="B64" s="34" t="n"/>
      <c r="C64" s="34" t="n"/>
      <c r="D64" s="34" t="n"/>
      <c r="E64" s="34" t="n"/>
      <c r="F64" s="34" t="n"/>
      <c r="G64" s="34" t="n"/>
      <c r="H64" s="69" t="n"/>
      <c r="I64" s="36" t="n"/>
      <c r="J64" s="69" t="n"/>
      <c r="K64" s="36" t="n"/>
      <c r="L64" s="34" t="n"/>
      <c r="M64" s="34" t="n"/>
      <c r="N64" s="37" t="n"/>
      <c r="O64" s="34" t="n"/>
      <c r="P64" s="34" t="n"/>
      <c r="Q64" s="38">
        <f>IF($A64="","",IF($P64="","",IFERROR(INDEX('Opportunities'!$C$6:$C$205,MATCH($P64,'Opportunities'!$A$6:$A$205,0)),"")))</f>
        <v/>
      </c>
      <c r="R64" s="38">
        <f>IF($A64="","",IF($P64="","",IFERROR(INDEX('Opportunities'!$D$6:$D$205,MATCH($P64,'Opportunities'!$A$6:$A$205,0)),"")))</f>
        <v/>
      </c>
      <c r="S64" s="38">
        <f>IF($A64="","",IF($P64="","",IFERROR(INDEX('Opportunities'!$E$6:$E$205,MATCH($P64,'Opportunities'!$A$6:$A$205,0)),"")))</f>
        <v/>
      </c>
      <c r="T64" s="38">
        <f>IF($A64="","",IF($P64="","",IFERROR(INDEX('Opportunities'!$F$6:$F$205,MATCH($P64,'Opportunities'!$A$6:$A$205,0)),"")))</f>
        <v/>
      </c>
      <c r="U64" s="70">
        <f>IF($A64="","",IF($P64="","",IFERROR(INDEX('Opportunities'!$G$6:$G$205,MATCH($P64,'Opportunities'!$A$6:$A$205,0)),"")))</f>
        <v/>
      </c>
      <c r="V64" s="40">
        <f>IF($A64="","",IF($P64="","",IFERROR(INDEX('Opportunities'!$H$6:$H$205,MATCH($P64,'Opportunities'!$A$6:$A$205,0)),"")))</f>
        <v/>
      </c>
      <c r="W64" s="38">
        <f>IF($A64="","",IF($P64="","",IFERROR(INDEX('Opportunities'!$I$6:$I$205,MATCH($P64,'Opportunities'!$A$6:$A$205,0)),"")))</f>
        <v/>
      </c>
      <c r="X64" s="38">
        <f>IF($A64="","",IF($P64="","",IFERROR(INDEX('Opportunities'!$J$6:$J$205,MATCH($P64,'Opportunities'!$A$6:$A$205,0)),"")))</f>
        <v/>
      </c>
      <c r="Y64" s="70">
        <f>IF($A64="","",IF($P64="","",IFERROR(INDEX('Opportunities'!$K$6:$K$205,MATCH($P64,'Opportunities'!$A$6:$A$205,0)),"")))</f>
        <v/>
      </c>
      <c r="Z64" s="41">
        <f>IF($A64="","",IF($P64="","",IFERROR(INDEX('Opportunities'!$O$6:$O$205,MATCH($P64,'Opportunities'!$A$6:$A$205,0)),"")))</f>
        <v/>
      </c>
      <c r="AA64" s="41">
        <f>IF($A64="","",IF($P64="","",IFERROR(INDEX('Opportunities'!$P$6:$P$205,MATCH($P64,'Opportunities'!$A$6:$A$205,0)),"")))</f>
        <v/>
      </c>
      <c r="AB64" s="41">
        <f>IF($A64="","",IF($P64="","",IFERROR(INDEX('Opportunities'!$Q$6:$Q$205,MATCH($P64,'Opportunities'!$A$6:$A$205,0)),"")))</f>
        <v/>
      </c>
      <c r="AC64" s="71">
        <f>IF($A64="","",IF($P64="","",IFERROR(INDEX('Opportunities'!$Z$6:$Z$205,MATCH($P64,'Opportunities'!$A$6:$A$205,0)),"")))</f>
        <v/>
      </c>
      <c r="AD64" s="71">
        <f>IF($A64="","",IF($P64="","",IFERROR(INDEX('Opportunities'!$AJ$6:$AJ$205,MATCH($P64,'Opportunities'!$A$6:$A$205,0)),"")))</f>
        <v/>
      </c>
      <c r="AE64" s="72">
        <f>IF($A64="","",IF($P64="","",IFERROR(INDEX('Opportunities'!$AA$6:$AA$205,MATCH($P64,'Opportunities'!$A$6:$A$205,0)),"")))</f>
        <v/>
      </c>
      <c r="AF64" s="73">
        <f>IF($A64="","",IF($P64="","",IFERROR(INDEX('Opportunities'!$AF$6:$AF$205,MATCH($P64,'Opportunities'!$A$6:$A$205,0)),"")))</f>
        <v/>
      </c>
      <c r="AG64" s="41">
        <f>IF($A64="","",IF($P64="","",IFERROR(INDEX('Opportunities'!$AB$6:$AB$205,MATCH($P64,'Opportunities'!$A$6:$A$205,0)),"")))</f>
        <v/>
      </c>
      <c r="AH64" s="74">
        <f>IF($A64="","",IF($P64="","",IFERROR(($U64+$V64-$J64-$K64)*24,0)))</f>
        <v/>
      </c>
      <c r="AI64" s="38">
        <f>IF($A64="","",IF($P64="","No load selected",IF($AH64&lt;IFERROR($Z64/'Settings'!$B$11,0)+'Settings'!$B$12,"Too tight",IF($AH64&gt;'Settings'!$B$13,"Long wait","Feasible"))))</f>
        <v/>
      </c>
      <c r="AJ64" s="41">
        <f>IF($A64="","",IF($P64="","",$N64-$Z64-$AB64))</f>
        <v/>
      </c>
      <c r="AK64" s="38">
        <f>IF($A64="","",IF(COUNTIF($A$6:$A$205,$A64)&gt;1,"Duplicate Trip ID",IF($P64="","Open",IF(COUNTIF('Opportunities'!$A$6:$A$205,$P64)=0,"Load ID not found",IF(COUNTIFS('Opportunities'!$A$6:$A$205,$P64,'Opportunities'!$B$6:$B$205,$A64)=0,"Trip mismatch",IF(COUNTIF($P$6:$P$205,$P64)&gt;1,"Duplicate selection",IF(AND(OR($O64="Booked",$O64="Completed"),AND($Q64&lt;&gt;"Booked",$Q64&lt;&gt;"Completed")),"Status mismatch","OK")))))))</f>
        <v/>
      </c>
      <c r="AL64" s="46" t="n"/>
    </row>
    <row r="65">
      <c r="A65" s="34" t="n"/>
      <c r="B65" s="34" t="n"/>
      <c r="C65" s="34" t="n"/>
      <c r="D65" s="34" t="n"/>
      <c r="E65" s="34" t="n"/>
      <c r="F65" s="34" t="n"/>
      <c r="G65" s="34" t="n"/>
      <c r="H65" s="69" t="n"/>
      <c r="I65" s="36" t="n"/>
      <c r="J65" s="69" t="n"/>
      <c r="K65" s="36" t="n"/>
      <c r="L65" s="34" t="n"/>
      <c r="M65" s="34" t="n"/>
      <c r="N65" s="37" t="n"/>
      <c r="O65" s="34" t="n"/>
      <c r="P65" s="34" t="n"/>
      <c r="Q65" s="38">
        <f>IF($A65="","",IF($P65="","",IFERROR(INDEX('Opportunities'!$C$6:$C$205,MATCH($P65,'Opportunities'!$A$6:$A$205,0)),"")))</f>
        <v/>
      </c>
      <c r="R65" s="38">
        <f>IF($A65="","",IF($P65="","",IFERROR(INDEX('Opportunities'!$D$6:$D$205,MATCH($P65,'Opportunities'!$A$6:$A$205,0)),"")))</f>
        <v/>
      </c>
      <c r="S65" s="38">
        <f>IF($A65="","",IF($P65="","",IFERROR(INDEX('Opportunities'!$E$6:$E$205,MATCH($P65,'Opportunities'!$A$6:$A$205,0)),"")))</f>
        <v/>
      </c>
      <c r="T65" s="38">
        <f>IF($A65="","",IF($P65="","",IFERROR(INDEX('Opportunities'!$F$6:$F$205,MATCH($P65,'Opportunities'!$A$6:$A$205,0)),"")))</f>
        <v/>
      </c>
      <c r="U65" s="70">
        <f>IF($A65="","",IF($P65="","",IFERROR(INDEX('Opportunities'!$G$6:$G$205,MATCH($P65,'Opportunities'!$A$6:$A$205,0)),"")))</f>
        <v/>
      </c>
      <c r="V65" s="40">
        <f>IF($A65="","",IF($P65="","",IFERROR(INDEX('Opportunities'!$H$6:$H$205,MATCH($P65,'Opportunities'!$A$6:$A$205,0)),"")))</f>
        <v/>
      </c>
      <c r="W65" s="38">
        <f>IF($A65="","",IF($P65="","",IFERROR(INDEX('Opportunities'!$I$6:$I$205,MATCH($P65,'Opportunities'!$A$6:$A$205,0)),"")))</f>
        <v/>
      </c>
      <c r="X65" s="38">
        <f>IF($A65="","",IF($P65="","",IFERROR(INDEX('Opportunities'!$J$6:$J$205,MATCH($P65,'Opportunities'!$A$6:$A$205,0)),"")))</f>
        <v/>
      </c>
      <c r="Y65" s="70">
        <f>IF($A65="","",IF($P65="","",IFERROR(INDEX('Opportunities'!$K$6:$K$205,MATCH($P65,'Opportunities'!$A$6:$A$205,0)),"")))</f>
        <v/>
      </c>
      <c r="Z65" s="41">
        <f>IF($A65="","",IF($P65="","",IFERROR(INDEX('Opportunities'!$O$6:$O$205,MATCH($P65,'Opportunities'!$A$6:$A$205,0)),"")))</f>
        <v/>
      </c>
      <c r="AA65" s="41">
        <f>IF($A65="","",IF($P65="","",IFERROR(INDEX('Opportunities'!$P$6:$P$205,MATCH($P65,'Opportunities'!$A$6:$A$205,0)),"")))</f>
        <v/>
      </c>
      <c r="AB65" s="41">
        <f>IF($A65="","",IF($P65="","",IFERROR(INDEX('Opportunities'!$Q$6:$Q$205,MATCH($P65,'Opportunities'!$A$6:$A$205,0)),"")))</f>
        <v/>
      </c>
      <c r="AC65" s="71">
        <f>IF($A65="","",IF($P65="","",IFERROR(INDEX('Opportunities'!$Z$6:$Z$205,MATCH($P65,'Opportunities'!$A$6:$A$205,0)),"")))</f>
        <v/>
      </c>
      <c r="AD65" s="71">
        <f>IF($A65="","",IF($P65="","",IFERROR(INDEX('Opportunities'!$AJ$6:$AJ$205,MATCH($P65,'Opportunities'!$A$6:$A$205,0)),"")))</f>
        <v/>
      </c>
      <c r="AE65" s="72">
        <f>IF($A65="","",IF($P65="","",IFERROR(INDEX('Opportunities'!$AA$6:$AA$205,MATCH($P65,'Opportunities'!$A$6:$A$205,0)),"")))</f>
        <v/>
      </c>
      <c r="AF65" s="73">
        <f>IF($A65="","",IF($P65="","",IFERROR(INDEX('Opportunities'!$AF$6:$AF$205,MATCH($P65,'Opportunities'!$A$6:$A$205,0)),"")))</f>
        <v/>
      </c>
      <c r="AG65" s="41">
        <f>IF($A65="","",IF($P65="","",IFERROR(INDEX('Opportunities'!$AB$6:$AB$205,MATCH($P65,'Opportunities'!$A$6:$A$205,0)),"")))</f>
        <v/>
      </c>
      <c r="AH65" s="74">
        <f>IF($A65="","",IF($P65="","",IFERROR(($U65+$V65-$J65-$K65)*24,0)))</f>
        <v/>
      </c>
      <c r="AI65" s="38">
        <f>IF($A65="","",IF($P65="","No load selected",IF($AH65&lt;IFERROR($Z65/'Settings'!$B$11,0)+'Settings'!$B$12,"Too tight",IF($AH65&gt;'Settings'!$B$13,"Long wait","Feasible"))))</f>
        <v/>
      </c>
      <c r="AJ65" s="41">
        <f>IF($A65="","",IF($P65="","",$N65-$Z65-$AB65))</f>
        <v/>
      </c>
      <c r="AK65" s="38">
        <f>IF($A65="","",IF(COUNTIF($A$6:$A$205,$A65)&gt;1,"Duplicate Trip ID",IF($P65="","Open",IF(COUNTIF('Opportunities'!$A$6:$A$205,$P65)=0,"Load ID not found",IF(COUNTIFS('Opportunities'!$A$6:$A$205,$P65,'Opportunities'!$B$6:$B$205,$A65)=0,"Trip mismatch",IF(COUNTIF($P$6:$P$205,$P65)&gt;1,"Duplicate selection",IF(AND(OR($O65="Booked",$O65="Completed"),AND($Q65&lt;&gt;"Booked",$Q65&lt;&gt;"Completed")),"Status mismatch","OK")))))))</f>
        <v/>
      </c>
      <c r="AL65" s="46" t="n"/>
    </row>
    <row r="66">
      <c r="A66" s="34" t="n"/>
      <c r="B66" s="34" t="n"/>
      <c r="C66" s="34" t="n"/>
      <c r="D66" s="34" t="n"/>
      <c r="E66" s="34" t="n"/>
      <c r="F66" s="34" t="n"/>
      <c r="G66" s="34" t="n"/>
      <c r="H66" s="69" t="n"/>
      <c r="I66" s="36" t="n"/>
      <c r="J66" s="69" t="n"/>
      <c r="K66" s="36" t="n"/>
      <c r="L66" s="34" t="n"/>
      <c r="M66" s="34" t="n"/>
      <c r="N66" s="37" t="n"/>
      <c r="O66" s="34" t="n"/>
      <c r="P66" s="34" t="n"/>
      <c r="Q66" s="38">
        <f>IF($A66="","",IF($P66="","",IFERROR(INDEX('Opportunities'!$C$6:$C$205,MATCH($P66,'Opportunities'!$A$6:$A$205,0)),"")))</f>
        <v/>
      </c>
      <c r="R66" s="38">
        <f>IF($A66="","",IF($P66="","",IFERROR(INDEX('Opportunities'!$D$6:$D$205,MATCH($P66,'Opportunities'!$A$6:$A$205,0)),"")))</f>
        <v/>
      </c>
      <c r="S66" s="38">
        <f>IF($A66="","",IF($P66="","",IFERROR(INDEX('Opportunities'!$E$6:$E$205,MATCH($P66,'Opportunities'!$A$6:$A$205,0)),"")))</f>
        <v/>
      </c>
      <c r="T66" s="38">
        <f>IF($A66="","",IF($P66="","",IFERROR(INDEX('Opportunities'!$F$6:$F$205,MATCH($P66,'Opportunities'!$A$6:$A$205,0)),"")))</f>
        <v/>
      </c>
      <c r="U66" s="70">
        <f>IF($A66="","",IF($P66="","",IFERROR(INDEX('Opportunities'!$G$6:$G$205,MATCH($P66,'Opportunities'!$A$6:$A$205,0)),"")))</f>
        <v/>
      </c>
      <c r="V66" s="40">
        <f>IF($A66="","",IF($P66="","",IFERROR(INDEX('Opportunities'!$H$6:$H$205,MATCH($P66,'Opportunities'!$A$6:$A$205,0)),"")))</f>
        <v/>
      </c>
      <c r="W66" s="38">
        <f>IF($A66="","",IF($P66="","",IFERROR(INDEX('Opportunities'!$I$6:$I$205,MATCH($P66,'Opportunities'!$A$6:$A$205,0)),"")))</f>
        <v/>
      </c>
      <c r="X66" s="38">
        <f>IF($A66="","",IF($P66="","",IFERROR(INDEX('Opportunities'!$J$6:$J$205,MATCH($P66,'Opportunities'!$A$6:$A$205,0)),"")))</f>
        <v/>
      </c>
      <c r="Y66" s="70">
        <f>IF($A66="","",IF($P66="","",IFERROR(INDEX('Opportunities'!$K$6:$K$205,MATCH($P66,'Opportunities'!$A$6:$A$205,0)),"")))</f>
        <v/>
      </c>
      <c r="Z66" s="41">
        <f>IF($A66="","",IF($P66="","",IFERROR(INDEX('Opportunities'!$O$6:$O$205,MATCH($P66,'Opportunities'!$A$6:$A$205,0)),"")))</f>
        <v/>
      </c>
      <c r="AA66" s="41">
        <f>IF($A66="","",IF($P66="","",IFERROR(INDEX('Opportunities'!$P$6:$P$205,MATCH($P66,'Opportunities'!$A$6:$A$205,0)),"")))</f>
        <v/>
      </c>
      <c r="AB66" s="41">
        <f>IF($A66="","",IF($P66="","",IFERROR(INDEX('Opportunities'!$Q$6:$Q$205,MATCH($P66,'Opportunities'!$A$6:$A$205,0)),"")))</f>
        <v/>
      </c>
      <c r="AC66" s="71">
        <f>IF($A66="","",IF($P66="","",IFERROR(INDEX('Opportunities'!$Z$6:$Z$205,MATCH($P66,'Opportunities'!$A$6:$A$205,0)),"")))</f>
        <v/>
      </c>
      <c r="AD66" s="71">
        <f>IF($A66="","",IF($P66="","",IFERROR(INDEX('Opportunities'!$AJ$6:$AJ$205,MATCH($P66,'Opportunities'!$A$6:$A$205,0)),"")))</f>
        <v/>
      </c>
      <c r="AE66" s="72">
        <f>IF($A66="","",IF($P66="","",IFERROR(INDEX('Opportunities'!$AA$6:$AA$205,MATCH($P66,'Opportunities'!$A$6:$A$205,0)),"")))</f>
        <v/>
      </c>
      <c r="AF66" s="73">
        <f>IF($A66="","",IF($P66="","",IFERROR(INDEX('Opportunities'!$AF$6:$AF$205,MATCH($P66,'Opportunities'!$A$6:$A$205,0)),"")))</f>
        <v/>
      </c>
      <c r="AG66" s="41">
        <f>IF($A66="","",IF($P66="","",IFERROR(INDEX('Opportunities'!$AB$6:$AB$205,MATCH($P66,'Opportunities'!$A$6:$A$205,0)),"")))</f>
        <v/>
      </c>
      <c r="AH66" s="74">
        <f>IF($A66="","",IF($P66="","",IFERROR(($U66+$V66-$J66-$K66)*24,0)))</f>
        <v/>
      </c>
      <c r="AI66" s="38">
        <f>IF($A66="","",IF($P66="","No load selected",IF($AH66&lt;IFERROR($Z66/'Settings'!$B$11,0)+'Settings'!$B$12,"Too tight",IF($AH66&gt;'Settings'!$B$13,"Long wait","Feasible"))))</f>
        <v/>
      </c>
      <c r="AJ66" s="41">
        <f>IF($A66="","",IF($P66="","",$N66-$Z66-$AB66))</f>
        <v/>
      </c>
      <c r="AK66" s="38">
        <f>IF($A66="","",IF(COUNTIF($A$6:$A$205,$A66)&gt;1,"Duplicate Trip ID",IF($P66="","Open",IF(COUNTIF('Opportunities'!$A$6:$A$205,$P66)=0,"Load ID not found",IF(COUNTIFS('Opportunities'!$A$6:$A$205,$P66,'Opportunities'!$B$6:$B$205,$A66)=0,"Trip mismatch",IF(COUNTIF($P$6:$P$205,$P66)&gt;1,"Duplicate selection",IF(AND(OR($O66="Booked",$O66="Completed"),AND($Q66&lt;&gt;"Booked",$Q66&lt;&gt;"Completed")),"Status mismatch","OK")))))))</f>
        <v/>
      </c>
      <c r="AL66" s="46" t="n"/>
    </row>
    <row r="67">
      <c r="A67" s="34" t="n"/>
      <c r="B67" s="34" t="n"/>
      <c r="C67" s="34" t="n"/>
      <c r="D67" s="34" t="n"/>
      <c r="E67" s="34" t="n"/>
      <c r="F67" s="34" t="n"/>
      <c r="G67" s="34" t="n"/>
      <c r="H67" s="69" t="n"/>
      <c r="I67" s="36" t="n"/>
      <c r="J67" s="69" t="n"/>
      <c r="K67" s="36" t="n"/>
      <c r="L67" s="34" t="n"/>
      <c r="M67" s="34" t="n"/>
      <c r="N67" s="37" t="n"/>
      <c r="O67" s="34" t="n"/>
      <c r="P67" s="34" t="n"/>
      <c r="Q67" s="38">
        <f>IF($A67="","",IF($P67="","",IFERROR(INDEX('Opportunities'!$C$6:$C$205,MATCH($P67,'Opportunities'!$A$6:$A$205,0)),"")))</f>
        <v/>
      </c>
      <c r="R67" s="38">
        <f>IF($A67="","",IF($P67="","",IFERROR(INDEX('Opportunities'!$D$6:$D$205,MATCH($P67,'Opportunities'!$A$6:$A$205,0)),"")))</f>
        <v/>
      </c>
      <c r="S67" s="38">
        <f>IF($A67="","",IF($P67="","",IFERROR(INDEX('Opportunities'!$E$6:$E$205,MATCH($P67,'Opportunities'!$A$6:$A$205,0)),"")))</f>
        <v/>
      </c>
      <c r="T67" s="38">
        <f>IF($A67="","",IF($P67="","",IFERROR(INDEX('Opportunities'!$F$6:$F$205,MATCH($P67,'Opportunities'!$A$6:$A$205,0)),"")))</f>
        <v/>
      </c>
      <c r="U67" s="70">
        <f>IF($A67="","",IF($P67="","",IFERROR(INDEX('Opportunities'!$G$6:$G$205,MATCH($P67,'Opportunities'!$A$6:$A$205,0)),"")))</f>
        <v/>
      </c>
      <c r="V67" s="40">
        <f>IF($A67="","",IF($P67="","",IFERROR(INDEX('Opportunities'!$H$6:$H$205,MATCH($P67,'Opportunities'!$A$6:$A$205,0)),"")))</f>
        <v/>
      </c>
      <c r="W67" s="38">
        <f>IF($A67="","",IF($P67="","",IFERROR(INDEX('Opportunities'!$I$6:$I$205,MATCH($P67,'Opportunities'!$A$6:$A$205,0)),"")))</f>
        <v/>
      </c>
      <c r="X67" s="38">
        <f>IF($A67="","",IF($P67="","",IFERROR(INDEX('Opportunities'!$J$6:$J$205,MATCH($P67,'Opportunities'!$A$6:$A$205,0)),"")))</f>
        <v/>
      </c>
      <c r="Y67" s="70">
        <f>IF($A67="","",IF($P67="","",IFERROR(INDEX('Opportunities'!$K$6:$K$205,MATCH($P67,'Opportunities'!$A$6:$A$205,0)),"")))</f>
        <v/>
      </c>
      <c r="Z67" s="41">
        <f>IF($A67="","",IF($P67="","",IFERROR(INDEX('Opportunities'!$O$6:$O$205,MATCH($P67,'Opportunities'!$A$6:$A$205,0)),"")))</f>
        <v/>
      </c>
      <c r="AA67" s="41">
        <f>IF($A67="","",IF($P67="","",IFERROR(INDEX('Opportunities'!$P$6:$P$205,MATCH($P67,'Opportunities'!$A$6:$A$205,0)),"")))</f>
        <v/>
      </c>
      <c r="AB67" s="41">
        <f>IF($A67="","",IF($P67="","",IFERROR(INDEX('Opportunities'!$Q$6:$Q$205,MATCH($P67,'Opportunities'!$A$6:$A$205,0)),"")))</f>
        <v/>
      </c>
      <c r="AC67" s="71">
        <f>IF($A67="","",IF($P67="","",IFERROR(INDEX('Opportunities'!$Z$6:$Z$205,MATCH($P67,'Opportunities'!$A$6:$A$205,0)),"")))</f>
        <v/>
      </c>
      <c r="AD67" s="71">
        <f>IF($A67="","",IF($P67="","",IFERROR(INDEX('Opportunities'!$AJ$6:$AJ$205,MATCH($P67,'Opportunities'!$A$6:$A$205,0)),"")))</f>
        <v/>
      </c>
      <c r="AE67" s="72">
        <f>IF($A67="","",IF($P67="","",IFERROR(INDEX('Opportunities'!$AA$6:$AA$205,MATCH($P67,'Opportunities'!$A$6:$A$205,0)),"")))</f>
        <v/>
      </c>
      <c r="AF67" s="73">
        <f>IF($A67="","",IF($P67="","",IFERROR(INDEX('Opportunities'!$AF$6:$AF$205,MATCH($P67,'Opportunities'!$A$6:$A$205,0)),"")))</f>
        <v/>
      </c>
      <c r="AG67" s="41">
        <f>IF($A67="","",IF($P67="","",IFERROR(INDEX('Opportunities'!$AB$6:$AB$205,MATCH($P67,'Opportunities'!$A$6:$A$205,0)),"")))</f>
        <v/>
      </c>
      <c r="AH67" s="74">
        <f>IF($A67="","",IF($P67="","",IFERROR(($U67+$V67-$J67-$K67)*24,0)))</f>
        <v/>
      </c>
      <c r="AI67" s="38">
        <f>IF($A67="","",IF($P67="","No load selected",IF($AH67&lt;IFERROR($Z67/'Settings'!$B$11,0)+'Settings'!$B$12,"Too tight",IF($AH67&gt;'Settings'!$B$13,"Long wait","Feasible"))))</f>
        <v/>
      </c>
      <c r="AJ67" s="41">
        <f>IF($A67="","",IF($P67="","",$N67-$Z67-$AB67))</f>
        <v/>
      </c>
      <c r="AK67" s="38">
        <f>IF($A67="","",IF(COUNTIF($A$6:$A$205,$A67)&gt;1,"Duplicate Trip ID",IF($P67="","Open",IF(COUNTIF('Opportunities'!$A$6:$A$205,$P67)=0,"Load ID not found",IF(COUNTIFS('Opportunities'!$A$6:$A$205,$P67,'Opportunities'!$B$6:$B$205,$A67)=0,"Trip mismatch",IF(COUNTIF($P$6:$P$205,$P67)&gt;1,"Duplicate selection",IF(AND(OR($O67="Booked",$O67="Completed"),AND($Q67&lt;&gt;"Booked",$Q67&lt;&gt;"Completed")),"Status mismatch","OK")))))))</f>
        <v/>
      </c>
      <c r="AL67" s="46" t="n"/>
    </row>
    <row r="68">
      <c r="A68" s="34" t="n"/>
      <c r="B68" s="34" t="n"/>
      <c r="C68" s="34" t="n"/>
      <c r="D68" s="34" t="n"/>
      <c r="E68" s="34" t="n"/>
      <c r="F68" s="34" t="n"/>
      <c r="G68" s="34" t="n"/>
      <c r="H68" s="69" t="n"/>
      <c r="I68" s="36" t="n"/>
      <c r="J68" s="69" t="n"/>
      <c r="K68" s="36" t="n"/>
      <c r="L68" s="34" t="n"/>
      <c r="M68" s="34" t="n"/>
      <c r="N68" s="37" t="n"/>
      <c r="O68" s="34" t="n"/>
      <c r="P68" s="34" t="n"/>
      <c r="Q68" s="38">
        <f>IF($A68="","",IF($P68="","",IFERROR(INDEX('Opportunities'!$C$6:$C$205,MATCH($P68,'Opportunities'!$A$6:$A$205,0)),"")))</f>
        <v/>
      </c>
      <c r="R68" s="38">
        <f>IF($A68="","",IF($P68="","",IFERROR(INDEX('Opportunities'!$D$6:$D$205,MATCH($P68,'Opportunities'!$A$6:$A$205,0)),"")))</f>
        <v/>
      </c>
      <c r="S68" s="38">
        <f>IF($A68="","",IF($P68="","",IFERROR(INDEX('Opportunities'!$E$6:$E$205,MATCH($P68,'Opportunities'!$A$6:$A$205,0)),"")))</f>
        <v/>
      </c>
      <c r="T68" s="38">
        <f>IF($A68="","",IF($P68="","",IFERROR(INDEX('Opportunities'!$F$6:$F$205,MATCH($P68,'Opportunities'!$A$6:$A$205,0)),"")))</f>
        <v/>
      </c>
      <c r="U68" s="70">
        <f>IF($A68="","",IF($P68="","",IFERROR(INDEX('Opportunities'!$G$6:$G$205,MATCH($P68,'Opportunities'!$A$6:$A$205,0)),"")))</f>
        <v/>
      </c>
      <c r="V68" s="40">
        <f>IF($A68="","",IF($P68="","",IFERROR(INDEX('Opportunities'!$H$6:$H$205,MATCH($P68,'Opportunities'!$A$6:$A$205,0)),"")))</f>
        <v/>
      </c>
      <c r="W68" s="38">
        <f>IF($A68="","",IF($P68="","",IFERROR(INDEX('Opportunities'!$I$6:$I$205,MATCH($P68,'Opportunities'!$A$6:$A$205,0)),"")))</f>
        <v/>
      </c>
      <c r="X68" s="38">
        <f>IF($A68="","",IF($P68="","",IFERROR(INDEX('Opportunities'!$J$6:$J$205,MATCH($P68,'Opportunities'!$A$6:$A$205,0)),"")))</f>
        <v/>
      </c>
      <c r="Y68" s="70">
        <f>IF($A68="","",IF($P68="","",IFERROR(INDEX('Opportunities'!$K$6:$K$205,MATCH($P68,'Opportunities'!$A$6:$A$205,0)),"")))</f>
        <v/>
      </c>
      <c r="Z68" s="41">
        <f>IF($A68="","",IF($P68="","",IFERROR(INDEX('Opportunities'!$O$6:$O$205,MATCH($P68,'Opportunities'!$A$6:$A$205,0)),"")))</f>
        <v/>
      </c>
      <c r="AA68" s="41">
        <f>IF($A68="","",IF($P68="","",IFERROR(INDEX('Opportunities'!$P$6:$P$205,MATCH($P68,'Opportunities'!$A$6:$A$205,0)),"")))</f>
        <v/>
      </c>
      <c r="AB68" s="41">
        <f>IF($A68="","",IF($P68="","",IFERROR(INDEX('Opportunities'!$Q$6:$Q$205,MATCH($P68,'Opportunities'!$A$6:$A$205,0)),"")))</f>
        <v/>
      </c>
      <c r="AC68" s="71">
        <f>IF($A68="","",IF($P68="","",IFERROR(INDEX('Opportunities'!$Z$6:$Z$205,MATCH($P68,'Opportunities'!$A$6:$A$205,0)),"")))</f>
        <v/>
      </c>
      <c r="AD68" s="71">
        <f>IF($A68="","",IF($P68="","",IFERROR(INDEX('Opportunities'!$AJ$6:$AJ$205,MATCH($P68,'Opportunities'!$A$6:$A$205,0)),"")))</f>
        <v/>
      </c>
      <c r="AE68" s="72">
        <f>IF($A68="","",IF($P68="","",IFERROR(INDEX('Opportunities'!$AA$6:$AA$205,MATCH($P68,'Opportunities'!$A$6:$A$205,0)),"")))</f>
        <v/>
      </c>
      <c r="AF68" s="73">
        <f>IF($A68="","",IF($P68="","",IFERROR(INDEX('Opportunities'!$AF$6:$AF$205,MATCH($P68,'Opportunities'!$A$6:$A$205,0)),"")))</f>
        <v/>
      </c>
      <c r="AG68" s="41">
        <f>IF($A68="","",IF($P68="","",IFERROR(INDEX('Opportunities'!$AB$6:$AB$205,MATCH($P68,'Opportunities'!$A$6:$A$205,0)),"")))</f>
        <v/>
      </c>
      <c r="AH68" s="74">
        <f>IF($A68="","",IF($P68="","",IFERROR(($U68+$V68-$J68-$K68)*24,0)))</f>
        <v/>
      </c>
      <c r="AI68" s="38">
        <f>IF($A68="","",IF($P68="","No load selected",IF($AH68&lt;IFERROR($Z68/'Settings'!$B$11,0)+'Settings'!$B$12,"Too tight",IF($AH68&gt;'Settings'!$B$13,"Long wait","Feasible"))))</f>
        <v/>
      </c>
      <c r="AJ68" s="41">
        <f>IF($A68="","",IF($P68="","",$N68-$Z68-$AB68))</f>
        <v/>
      </c>
      <c r="AK68" s="38">
        <f>IF($A68="","",IF(COUNTIF($A$6:$A$205,$A68)&gt;1,"Duplicate Trip ID",IF($P68="","Open",IF(COUNTIF('Opportunities'!$A$6:$A$205,$P68)=0,"Load ID not found",IF(COUNTIFS('Opportunities'!$A$6:$A$205,$P68,'Opportunities'!$B$6:$B$205,$A68)=0,"Trip mismatch",IF(COUNTIF($P$6:$P$205,$P68)&gt;1,"Duplicate selection",IF(AND(OR($O68="Booked",$O68="Completed"),AND($Q68&lt;&gt;"Booked",$Q68&lt;&gt;"Completed")),"Status mismatch","OK")))))))</f>
        <v/>
      </c>
      <c r="AL68" s="46" t="n"/>
    </row>
    <row r="69">
      <c r="A69" s="34" t="n"/>
      <c r="B69" s="34" t="n"/>
      <c r="C69" s="34" t="n"/>
      <c r="D69" s="34" t="n"/>
      <c r="E69" s="34" t="n"/>
      <c r="F69" s="34" t="n"/>
      <c r="G69" s="34" t="n"/>
      <c r="H69" s="69" t="n"/>
      <c r="I69" s="36" t="n"/>
      <c r="J69" s="69" t="n"/>
      <c r="K69" s="36" t="n"/>
      <c r="L69" s="34" t="n"/>
      <c r="M69" s="34" t="n"/>
      <c r="N69" s="37" t="n"/>
      <c r="O69" s="34" t="n"/>
      <c r="P69" s="34" t="n"/>
      <c r="Q69" s="38">
        <f>IF($A69="","",IF($P69="","",IFERROR(INDEX('Opportunities'!$C$6:$C$205,MATCH($P69,'Opportunities'!$A$6:$A$205,0)),"")))</f>
        <v/>
      </c>
      <c r="R69" s="38">
        <f>IF($A69="","",IF($P69="","",IFERROR(INDEX('Opportunities'!$D$6:$D$205,MATCH($P69,'Opportunities'!$A$6:$A$205,0)),"")))</f>
        <v/>
      </c>
      <c r="S69" s="38">
        <f>IF($A69="","",IF($P69="","",IFERROR(INDEX('Opportunities'!$E$6:$E$205,MATCH($P69,'Opportunities'!$A$6:$A$205,0)),"")))</f>
        <v/>
      </c>
      <c r="T69" s="38">
        <f>IF($A69="","",IF($P69="","",IFERROR(INDEX('Opportunities'!$F$6:$F$205,MATCH($P69,'Opportunities'!$A$6:$A$205,0)),"")))</f>
        <v/>
      </c>
      <c r="U69" s="70">
        <f>IF($A69="","",IF($P69="","",IFERROR(INDEX('Opportunities'!$G$6:$G$205,MATCH($P69,'Opportunities'!$A$6:$A$205,0)),"")))</f>
        <v/>
      </c>
      <c r="V69" s="40">
        <f>IF($A69="","",IF($P69="","",IFERROR(INDEX('Opportunities'!$H$6:$H$205,MATCH($P69,'Opportunities'!$A$6:$A$205,0)),"")))</f>
        <v/>
      </c>
      <c r="W69" s="38">
        <f>IF($A69="","",IF($P69="","",IFERROR(INDEX('Opportunities'!$I$6:$I$205,MATCH($P69,'Opportunities'!$A$6:$A$205,0)),"")))</f>
        <v/>
      </c>
      <c r="X69" s="38">
        <f>IF($A69="","",IF($P69="","",IFERROR(INDEX('Opportunities'!$J$6:$J$205,MATCH($P69,'Opportunities'!$A$6:$A$205,0)),"")))</f>
        <v/>
      </c>
      <c r="Y69" s="70">
        <f>IF($A69="","",IF($P69="","",IFERROR(INDEX('Opportunities'!$K$6:$K$205,MATCH($P69,'Opportunities'!$A$6:$A$205,0)),"")))</f>
        <v/>
      </c>
      <c r="Z69" s="41">
        <f>IF($A69="","",IF($P69="","",IFERROR(INDEX('Opportunities'!$O$6:$O$205,MATCH($P69,'Opportunities'!$A$6:$A$205,0)),"")))</f>
        <v/>
      </c>
      <c r="AA69" s="41">
        <f>IF($A69="","",IF($P69="","",IFERROR(INDEX('Opportunities'!$P$6:$P$205,MATCH($P69,'Opportunities'!$A$6:$A$205,0)),"")))</f>
        <v/>
      </c>
      <c r="AB69" s="41">
        <f>IF($A69="","",IF($P69="","",IFERROR(INDEX('Opportunities'!$Q$6:$Q$205,MATCH($P69,'Opportunities'!$A$6:$A$205,0)),"")))</f>
        <v/>
      </c>
      <c r="AC69" s="71">
        <f>IF($A69="","",IF($P69="","",IFERROR(INDEX('Opportunities'!$Z$6:$Z$205,MATCH($P69,'Opportunities'!$A$6:$A$205,0)),"")))</f>
        <v/>
      </c>
      <c r="AD69" s="71">
        <f>IF($A69="","",IF($P69="","",IFERROR(INDEX('Opportunities'!$AJ$6:$AJ$205,MATCH($P69,'Opportunities'!$A$6:$A$205,0)),"")))</f>
        <v/>
      </c>
      <c r="AE69" s="72">
        <f>IF($A69="","",IF($P69="","",IFERROR(INDEX('Opportunities'!$AA$6:$AA$205,MATCH($P69,'Opportunities'!$A$6:$A$205,0)),"")))</f>
        <v/>
      </c>
      <c r="AF69" s="73">
        <f>IF($A69="","",IF($P69="","",IFERROR(INDEX('Opportunities'!$AF$6:$AF$205,MATCH($P69,'Opportunities'!$A$6:$A$205,0)),"")))</f>
        <v/>
      </c>
      <c r="AG69" s="41">
        <f>IF($A69="","",IF($P69="","",IFERROR(INDEX('Opportunities'!$AB$6:$AB$205,MATCH($P69,'Opportunities'!$A$6:$A$205,0)),"")))</f>
        <v/>
      </c>
      <c r="AH69" s="74">
        <f>IF($A69="","",IF($P69="","",IFERROR(($U69+$V69-$J69-$K69)*24,0)))</f>
        <v/>
      </c>
      <c r="AI69" s="38">
        <f>IF($A69="","",IF($P69="","No load selected",IF($AH69&lt;IFERROR($Z69/'Settings'!$B$11,0)+'Settings'!$B$12,"Too tight",IF($AH69&gt;'Settings'!$B$13,"Long wait","Feasible"))))</f>
        <v/>
      </c>
      <c r="AJ69" s="41">
        <f>IF($A69="","",IF($P69="","",$N69-$Z69-$AB69))</f>
        <v/>
      </c>
      <c r="AK69" s="38">
        <f>IF($A69="","",IF(COUNTIF($A$6:$A$205,$A69)&gt;1,"Duplicate Trip ID",IF($P69="","Open",IF(COUNTIF('Opportunities'!$A$6:$A$205,$P69)=0,"Load ID not found",IF(COUNTIFS('Opportunities'!$A$6:$A$205,$P69,'Opportunities'!$B$6:$B$205,$A69)=0,"Trip mismatch",IF(COUNTIF($P$6:$P$205,$P69)&gt;1,"Duplicate selection",IF(AND(OR($O69="Booked",$O69="Completed"),AND($Q69&lt;&gt;"Booked",$Q69&lt;&gt;"Completed")),"Status mismatch","OK")))))))</f>
        <v/>
      </c>
      <c r="AL69" s="46" t="n"/>
    </row>
    <row r="70">
      <c r="A70" s="34" t="n"/>
      <c r="B70" s="34" t="n"/>
      <c r="C70" s="34" t="n"/>
      <c r="D70" s="34" t="n"/>
      <c r="E70" s="34" t="n"/>
      <c r="F70" s="34" t="n"/>
      <c r="G70" s="34" t="n"/>
      <c r="H70" s="69" t="n"/>
      <c r="I70" s="36" t="n"/>
      <c r="J70" s="69" t="n"/>
      <c r="K70" s="36" t="n"/>
      <c r="L70" s="34" t="n"/>
      <c r="M70" s="34" t="n"/>
      <c r="N70" s="37" t="n"/>
      <c r="O70" s="34" t="n"/>
      <c r="P70" s="34" t="n"/>
      <c r="Q70" s="38">
        <f>IF($A70="","",IF($P70="","",IFERROR(INDEX('Opportunities'!$C$6:$C$205,MATCH($P70,'Opportunities'!$A$6:$A$205,0)),"")))</f>
        <v/>
      </c>
      <c r="R70" s="38">
        <f>IF($A70="","",IF($P70="","",IFERROR(INDEX('Opportunities'!$D$6:$D$205,MATCH($P70,'Opportunities'!$A$6:$A$205,0)),"")))</f>
        <v/>
      </c>
      <c r="S70" s="38">
        <f>IF($A70="","",IF($P70="","",IFERROR(INDEX('Opportunities'!$E$6:$E$205,MATCH($P70,'Opportunities'!$A$6:$A$205,0)),"")))</f>
        <v/>
      </c>
      <c r="T70" s="38">
        <f>IF($A70="","",IF($P70="","",IFERROR(INDEX('Opportunities'!$F$6:$F$205,MATCH($P70,'Opportunities'!$A$6:$A$205,0)),"")))</f>
        <v/>
      </c>
      <c r="U70" s="70">
        <f>IF($A70="","",IF($P70="","",IFERROR(INDEX('Opportunities'!$G$6:$G$205,MATCH($P70,'Opportunities'!$A$6:$A$205,0)),"")))</f>
        <v/>
      </c>
      <c r="V70" s="40">
        <f>IF($A70="","",IF($P70="","",IFERROR(INDEX('Opportunities'!$H$6:$H$205,MATCH($P70,'Opportunities'!$A$6:$A$205,0)),"")))</f>
        <v/>
      </c>
      <c r="W70" s="38">
        <f>IF($A70="","",IF($P70="","",IFERROR(INDEX('Opportunities'!$I$6:$I$205,MATCH($P70,'Opportunities'!$A$6:$A$205,0)),"")))</f>
        <v/>
      </c>
      <c r="X70" s="38">
        <f>IF($A70="","",IF($P70="","",IFERROR(INDEX('Opportunities'!$J$6:$J$205,MATCH($P70,'Opportunities'!$A$6:$A$205,0)),"")))</f>
        <v/>
      </c>
      <c r="Y70" s="70">
        <f>IF($A70="","",IF($P70="","",IFERROR(INDEX('Opportunities'!$K$6:$K$205,MATCH($P70,'Opportunities'!$A$6:$A$205,0)),"")))</f>
        <v/>
      </c>
      <c r="Z70" s="41">
        <f>IF($A70="","",IF($P70="","",IFERROR(INDEX('Opportunities'!$O$6:$O$205,MATCH($P70,'Opportunities'!$A$6:$A$205,0)),"")))</f>
        <v/>
      </c>
      <c r="AA70" s="41">
        <f>IF($A70="","",IF($P70="","",IFERROR(INDEX('Opportunities'!$P$6:$P$205,MATCH($P70,'Opportunities'!$A$6:$A$205,0)),"")))</f>
        <v/>
      </c>
      <c r="AB70" s="41">
        <f>IF($A70="","",IF($P70="","",IFERROR(INDEX('Opportunities'!$Q$6:$Q$205,MATCH($P70,'Opportunities'!$A$6:$A$205,0)),"")))</f>
        <v/>
      </c>
      <c r="AC70" s="71">
        <f>IF($A70="","",IF($P70="","",IFERROR(INDEX('Opportunities'!$Z$6:$Z$205,MATCH($P70,'Opportunities'!$A$6:$A$205,0)),"")))</f>
        <v/>
      </c>
      <c r="AD70" s="71">
        <f>IF($A70="","",IF($P70="","",IFERROR(INDEX('Opportunities'!$AJ$6:$AJ$205,MATCH($P70,'Opportunities'!$A$6:$A$205,0)),"")))</f>
        <v/>
      </c>
      <c r="AE70" s="72">
        <f>IF($A70="","",IF($P70="","",IFERROR(INDEX('Opportunities'!$AA$6:$AA$205,MATCH($P70,'Opportunities'!$A$6:$A$205,0)),"")))</f>
        <v/>
      </c>
      <c r="AF70" s="73">
        <f>IF($A70="","",IF($P70="","",IFERROR(INDEX('Opportunities'!$AF$6:$AF$205,MATCH($P70,'Opportunities'!$A$6:$A$205,0)),"")))</f>
        <v/>
      </c>
      <c r="AG70" s="41">
        <f>IF($A70="","",IF($P70="","",IFERROR(INDEX('Opportunities'!$AB$6:$AB$205,MATCH($P70,'Opportunities'!$A$6:$A$205,0)),"")))</f>
        <v/>
      </c>
      <c r="AH70" s="74">
        <f>IF($A70="","",IF($P70="","",IFERROR(($U70+$V70-$J70-$K70)*24,0)))</f>
        <v/>
      </c>
      <c r="AI70" s="38">
        <f>IF($A70="","",IF($P70="","No load selected",IF($AH70&lt;IFERROR($Z70/'Settings'!$B$11,0)+'Settings'!$B$12,"Too tight",IF($AH70&gt;'Settings'!$B$13,"Long wait","Feasible"))))</f>
        <v/>
      </c>
      <c r="AJ70" s="41">
        <f>IF($A70="","",IF($P70="","",$N70-$Z70-$AB70))</f>
        <v/>
      </c>
      <c r="AK70" s="38">
        <f>IF($A70="","",IF(COUNTIF($A$6:$A$205,$A70)&gt;1,"Duplicate Trip ID",IF($P70="","Open",IF(COUNTIF('Opportunities'!$A$6:$A$205,$P70)=0,"Load ID not found",IF(COUNTIFS('Opportunities'!$A$6:$A$205,$P70,'Opportunities'!$B$6:$B$205,$A70)=0,"Trip mismatch",IF(COUNTIF($P$6:$P$205,$P70)&gt;1,"Duplicate selection",IF(AND(OR($O70="Booked",$O70="Completed"),AND($Q70&lt;&gt;"Booked",$Q70&lt;&gt;"Completed")),"Status mismatch","OK")))))))</f>
        <v/>
      </c>
      <c r="AL70" s="46" t="n"/>
    </row>
    <row r="71">
      <c r="A71" s="34" t="n"/>
      <c r="B71" s="34" t="n"/>
      <c r="C71" s="34" t="n"/>
      <c r="D71" s="34" t="n"/>
      <c r="E71" s="34" t="n"/>
      <c r="F71" s="34" t="n"/>
      <c r="G71" s="34" t="n"/>
      <c r="H71" s="69" t="n"/>
      <c r="I71" s="36" t="n"/>
      <c r="J71" s="69" t="n"/>
      <c r="K71" s="36" t="n"/>
      <c r="L71" s="34" t="n"/>
      <c r="M71" s="34" t="n"/>
      <c r="N71" s="37" t="n"/>
      <c r="O71" s="34" t="n"/>
      <c r="P71" s="34" t="n"/>
      <c r="Q71" s="38">
        <f>IF($A71="","",IF($P71="","",IFERROR(INDEX('Opportunities'!$C$6:$C$205,MATCH($P71,'Opportunities'!$A$6:$A$205,0)),"")))</f>
        <v/>
      </c>
      <c r="R71" s="38">
        <f>IF($A71="","",IF($P71="","",IFERROR(INDEX('Opportunities'!$D$6:$D$205,MATCH($P71,'Opportunities'!$A$6:$A$205,0)),"")))</f>
        <v/>
      </c>
      <c r="S71" s="38">
        <f>IF($A71="","",IF($P71="","",IFERROR(INDEX('Opportunities'!$E$6:$E$205,MATCH($P71,'Opportunities'!$A$6:$A$205,0)),"")))</f>
        <v/>
      </c>
      <c r="T71" s="38">
        <f>IF($A71="","",IF($P71="","",IFERROR(INDEX('Opportunities'!$F$6:$F$205,MATCH($P71,'Opportunities'!$A$6:$A$205,0)),"")))</f>
        <v/>
      </c>
      <c r="U71" s="70">
        <f>IF($A71="","",IF($P71="","",IFERROR(INDEX('Opportunities'!$G$6:$G$205,MATCH($P71,'Opportunities'!$A$6:$A$205,0)),"")))</f>
        <v/>
      </c>
      <c r="V71" s="40">
        <f>IF($A71="","",IF($P71="","",IFERROR(INDEX('Opportunities'!$H$6:$H$205,MATCH($P71,'Opportunities'!$A$6:$A$205,0)),"")))</f>
        <v/>
      </c>
      <c r="W71" s="38">
        <f>IF($A71="","",IF($P71="","",IFERROR(INDEX('Opportunities'!$I$6:$I$205,MATCH($P71,'Opportunities'!$A$6:$A$205,0)),"")))</f>
        <v/>
      </c>
      <c r="X71" s="38">
        <f>IF($A71="","",IF($P71="","",IFERROR(INDEX('Opportunities'!$J$6:$J$205,MATCH($P71,'Opportunities'!$A$6:$A$205,0)),"")))</f>
        <v/>
      </c>
      <c r="Y71" s="70">
        <f>IF($A71="","",IF($P71="","",IFERROR(INDEX('Opportunities'!$K$6:$K$205,MATCH($P71,'Opportunities'!$A$6:$A$205,0)),"")))</f>
        <v/>
      </c>
      <c r="Z71" s="41">
        <f>IF($A71="","",IF($P71="","",IFERROR(INDEX('Opportunities'!$O$6:$O$205,MATCH($P71,'Opportunities'!$A$6:$A$205,0)),"")))</f>
        <v/>
      </c>
      <c r="AA71" s="41">
        <f>IF($A71="","",IF($P71="","",IFERROR(INDEX('Opportunities'!$P$6:$P$205,MATCH($P71,'Opportunities'!$A$6:$A$205,0)),"")))</f>
        <v/>
      </c>
      <c r="AB71" s="41">
        <f>IF($A71="","",IF($P71="","",IFERROR(INDEX('Opportunities'!$Q$6:$Q$205,MATCH($P71,'Opportunities'!$A$6:$A$205,0)),"")))</f>
        <v/>
      </c>
      <c r="AC71" s="71">
        <f>IF($A71="","",IF($P71="","",IFERROR(INDEX('Opportunities'!$Z$6:$Z$205,MATCH($P71,'Opportunities'!$A$6:$A$205,0)),"")))</f>
        <v/>
      </c>
      <c r="AD71" s="71">
        <f>IF($A71="","",IF($P71="","",IFERROR(INDEX('Opportunities'!$AJ$6:$AJ$205,MATCH($P71,'Opportunities'!$A$6:$A$205,0)),"")))</f>
        <v/>
      </c>
      <c r="AE71" s="72">
        <f>IF($A71="","",IF($P71="","",IFERROR(INDEX('Opportunities'!$AA$6:$AA$205,MATCH($P71,'Opportunities'!$A$6:$A$205,0)),"")))</f>
        <v/>
      </c>
      <c r="AF71" s="73">
        <f>IF($A71="","",IF($P71="","",IFERROR(INDEX('Opportunities'!$AF$6:$AF$205,MATCH($P71,'Opportunities'!$A$6:$A$205,0)),"")))</f>
        <v/>
      </c>
      <c r="AG71" s="41">
        <f>IF($A71="","",IF($P71="","",IFERROR(INDEX('Opportunities'!$AB$6:$AB$205,MATCH($P71,'Opportunities'!$A$6:$A$205,0)),"")))</f>
        <v/>
      </c>
      <c r="AH71" s="74">
        <f>IF($A71="","",IF($P71="","",IFERROR(($U71+$V71-$J71-$K71)*24,0)))</f>
        <v/>
      </c>
      <c r="AI71" s="38">
        <f>IF($A71="","",IF($P71="","No load selected",IF($AH71&lt;IFERROR($Z71/'Settings'!$B$11,0)+'Settings'!$B$12,"Too tight",IF($AH71&gt;'Settings'!$B$13,"Long wait","Feasible"))))</f>
        <v/>
      </c>
      <c r="AJ71" s="41">
        <f>IF($A71="","",IF($P71="","",$N71-$Z71-$AB71))</f>
        <v/>
      </c>
      <c r="AK71" s="38">
        <f>IF($A71="","",IF(COUNTIF($A$6:$A$205,$A71)&gt;1,"Duplicate Trip ID",IF($P71="","Open",IF(COUNTIF('Opportunities'!$A$6:$A$205,$P71)=0,"Load ID not found",IF(COUNTIFS('Opportunities'!$A$6:$A$205,$P71,'Opportunities'!$B$6:$B$205,$A71)=0,"Trip mismatch",IF(COUNTIF($P$6:$P$205,$P71)&gt;1,"Duplicate selection",IF(AND(OR($O71="Booked",$O71="Completed"),AND($Q71&lt;&gt;"Booked",$Q71&lt;&gt;"Completed")),"Status mismatch","OK")))))))</f>
        <v/>
      </c>
      <c r="AL71" s="46" t="n"/>
    </row>
    <row r="72">
      <c r="A72" s="34" t="n"/>
      <c r="B72" s="34" t="n"/>
      <c r="C72" s="34" t="n"/>
      <c r="D72" s="34" t="n"/>
      <c r="E72" s="34" t="n"/>
      <c r="F72" s="34" t="n"/>
      <c r="G72" s="34" t="n"/>
      <c r="H72" s="69" t="n"/>
      <c r="I72" s="36" t="n"/>
      <c r="J72" s="69" t="n"/>
      <c r="K72" s="36" t="n"/>
      <c r="L72" s="34" t="n"/>
      <c r="M72" s="34" t="n"/>
      <c r="N72" s="37" t="n"/>
      <c r="O72" s="34" t="n"/>
      <c r="P72" s="34" t="n"/>
      <c r="Q72" s="38">
        <f>IF($A72="","",IF($P72="","",IFERROR(INDEX('Opportunities'!$C$6:$C$205,MATCH($P72,'Opportunities'!$A$6:$A$205,0)),"")))</f>
        <v/>
      </c>
      <c r="R72" s="38">
        <f>IF($A72="","",IF($P72="","",IFERROR(INDEX('Opportunities'!$D$6:$D$205,MATCH($P72,'Opportunities'!$A$6:$A$205,0)),"")))</f>
        <v/>
      </c>
      <c r="S72" s="38">
        <f>IF($A72="","",IF($P72="","",IFERROR(INDEX('Opportunities'!$E$6:$E$205,MATCH($P72,'Opportunities'!$A$6:$A$205,0)),"")))</f>
        <v/>
      </c>
      <c r="T72" s="38">
        <f>IF($A72="","",IF($P72="","",IFERROR(INDEX('Opportunities'!$F$6:$F$205,MATCH($P72,'Opportunities'!$A$6:$A$205,0)),"")))</f>
        <v/>
      </c>
      <c r="U72" s="70">
        <f>IF($A72="","",IF($P72="","",IFERROR(INDEX('Opportunities'!$G$6:$G$205,MATCH($P72,'Opportunities'!$A$6:$A$205,0)),"")))</f>
        <v/>
      </c>
      <c r="V72" s="40">
        <f>IF($A72="","",IF($P72="","",IFERROR(INDEX('Opportunities'!$H$6:$H$205,MATCH($P72,'Opportunities'!$A$6:$A$205,0)),"")))</f>
        <v/>
      </c>
      <c r="W72" s="38">
        <f>IF($A72="","",IF($P72="","",IFERROR(INDEX('Opportunities'!$I$6:$I$205,MATCH($P72,'Opportunities'!$A$6:$A$205,0)),"")))</f>
        <v/>
      </c>
      <c r="X72" s="38">
        <f>IF($A72="","",IF($P72="","",IFERROR(INDEX('Opportunities'!$J$6:$J$205,MATCH($P72,'Opportunities'!$A$6:$A$205,0)),"")))</f>
        <v/>
      </c>
      <c r="Y72" s="70">
        <f>IF($A72="","",IF($P72="","",IFERROR(INDEX('Opportunities'!$K$6:$K$205,MATCH($P72,'Opportunities'!$A$6:$A$205,0)),"")))</f>
        <v/>
      </c>
      <c r="Z72" s="41">
        <f>IF($A72="","",IF($P72="","",IFERROR(INDEX('Opportunities'!$O$6:$O$205,MATCH($P72,'Opportunities'!$A$6:$A$205,0)),"")))</f>
        <v/>
      </c>
      <c r="AA72" s="41">
        <f>IF($A72="","",IF($P72="","",IFERROR(INDEX('Opportunities'!$P$6:$P$205,MATCH($P72,'Opportunities'!$A$6:$A$205,0)),"")))</f>
        <v/>
      </c>
      <c r="AB72" s="41">
        <f>IF($A72="","",IF($P72="","",IFERROR(INDEX('Opportunities'!$Q$6:$Q$205,MATCH($P72,'Opportunities'!$A$6:$A$205,0)),"")))</f>
        <v/>
      </c>
      <c r="AC72" s="71">
        <f>IF($A72="","",IF($P72="","",IFERROR(INDEX('Opportunities'!$Z$6:$Z$205,MATCH($P72,'Opportunities'!$A$6:$A$205,0)),"")))</f>
        <v/>
      </c>
      <c r="AD72" s="71">
        <f>IF($A72="","",IF($P72="","",IFERROR(INDEX('Opportunities'!$AJ$6:$AJ$205,MATCH($P72,'Opportunities'!$A$6:$A$205,0)),"")))</f>
        <v/>
      </c>
      <c r="AE72" s="72">
        <f>IF($A72="","",IF($P72="","",IFERROR(INDEX('Opportunities'!$AA$6:$AA$205,MATCH($P72,'Opportunities'!$A$6:$A$205,0)),"")))</f>
        <v/>
      </c>
      <c r="AF72" s="73">
        <f>IF($A72="","",IF($P72="","",IFERROR(INDEX('Opportunities'!$AF$6:$AF$205,MATCH($P72,'Opportunities'!$A$6:$A$205,0)),"")))</f>
        <v/>
      </c>
      <c r="AG72" s="41">
        <f>IF($A72="","",IF($P72="","",IFERROR(INDEX('Opportunities'!$AB$6:$AB$205,MATCH($P72,'Opportunities'!$A$6:$A$205,0)),"")))</f>
        <v/>
      </c>
      <c r="AH72" s="74">
        <f>IF($A72="","",IF($P72="","",IFERROR(($U72+$V72-$J72-$K72)*24,0)))</f>
        <v/>
      </c>
      <c r="AI72" s="38">
        <f>IF($A72="","",IF($P72="","No load selected",IF($AH72&lt;IFERROR($Z72/'Settings'!$B$11,0)+'Settings'!$B$12,"Too tight",IF($AH72&gt;'Settings'!$B$13,"Long wait","Feasible"))))</f>
        <v/>
      </c>
      <c r="AJ72" s="41">
        <f>IF($A72="","",IF($P72="","",$N72-$Z72-$AB72))</f>
        <v/>
      </c>
      <c r="AK72" s="38">
        <f>IF($A72="","",IF(COUNTIF($A$6:$A$205,$A72)&gt;1,"Duplicate Trip ID",IF($P72="","Open",IF(COUNTIF('Opportunities'!$A$6:$A$205,$P72)=0,"Load ID not found",IF(COUNTIFS('Opportunities'!$A$6:$A$205,$P72,'Opportunities'!$B$6:$B$205,$A72)=0,"Trip mismatch",IF(COUNTIF($P$6:$P$205,$P72)&gt;1,"Duplicate selection",IF(AND(OR($O72="Booked",$O72="Completed"),AND($Q72&lt;&gt;"Booked",$Q72&lt;&gt;"Completed")),"Status mismatch","OK")))))))</f>
        <v/>
      </c>
      <c r="AL72" s="46" t="n"/>
    </row>
    <row r="73">
      <c r="A73" s="34" t="n"/>
      <c r="B73" s="34" t="n"/>
      <c r="C73" s="34" t="n"/>
      <c r="D73" s="34" t="n"/>
      <c r="E73" s="34" t="n"/>
      <c r="F73" s="34" t="n"/>
      <c r="G73" s="34" t="n"/>
      <c r="H73" s="69" t="n"/>
      <c r="I73" s="36" t="n"/>
      <c r="J73" s="69" t="n"/>
      <c r="K73" s="36" t="n"/>
      <c r="L73" s="34" t="n"/>
      <c r="M73" s="34" t="n"/>
      <c r="N73" s="37" t="n"/>
      <c r="O73" s="34" t="n"/>
      <c r="P73" s="34" t="n"/>
      <c r="Q73" s="38">
        <f>IF($A73="","",IF($P73="","",IFERROR(INDEX('Opportunities'!$C$6:$C$205,MATCH($P73,'Opportunities'!$A$6:$A$205,0)),"")))</f>
        <v/>
      </c>
      <c r="R73" s="38">
        <f>IF($A73="","",IF($P73="","",IFERROR(INDEX('Opportunities'!$D$6:$D$205,MATCH($P73,'Opportunities'!$A$6:$A$205,0)),"")))</f>
        <v/>
      </c>
      <c r="S73" s="38">
        <f>IF($A73="","",IF($P73="","",IFERROR(INDEX('Opportunities'!$E$6:$E$205,MATCH($P73,'Opportunities'!$A$6:$A$205,0)),"")))</f>
        <v/>
      </c>
      <c r="T73" s="38">
        <f>IF($A73="","",IF($P73="","",IFERROR(INDEX('Opportunities'!$F$6:$F$205,MATCH($P73,'Opportunities'!$A$6:$A$205,0)),"")))</f>
        <v/>
      </c>
      <c r="U73" s="70">
        <f>IF($A73="","",IF($P73="","",IFERROR(INDEX('Opportunities'!$G$6:$G$205,MATCH($P73,'Opportunities'!$A$6:$A$205,0)),"")))</f>
        <v/>
      </c>
      <c r="V73" s="40">
        <f>IF($A73="","",IF($P73="","",IFERROR(INDEX('Opportunities'!$H$6:$H$205,MATCH($P73,'Opportunities'!$A$6:$A$205,0)),"")))</f>
        <v/>
      </c>
      <c r="W73" s="38">
        <f>IF($A73="","",IF($P73="","",IFERROR(INDEX('Opportunities'!$I$6:$I$205,MATCH($P73,'Opportunities'!$A$6:$A$205,0)),"")))</f>
        <v/>
      </c>
      <c r="X73" s="38">
        <f>IF($A73="","",IF($P73="","",IFERROR(INDEX('Opportunities'!$J$6:$J$205,MATCH($P73,'Opportunities'!$A$6:$A$205,0)),"")))</f>
        <v/>
      </c>
      <c r="Y73" s="70">
        <f>IF($A73="","",IF($P73="","",IFERROR(INDEX('Opportunities'!$K$6:$K$205,MATCH($P73,'Opportunities'!$A$6:$A$205,0)),"")))</f>
        <v/>
      </c>
      <c r="Z73" s="41">
        <f>IF($A73="","",IF($P73="","",IFERROR(INDEX('Opportunities'!$O$6:$O$205,MATCH($P73,'Opportunities'!$A$6:$A$205,0)),"")))</f>
        <v/>
      </c>
      <c r="AA73" s="41">
        <f>IF($A73="","",IF($P73="","",IFERROR(INDEX('Opportunities'!$P$6:$P$205,MATCH($P73,'Opportunities'!$A$6:$A$205,0)),"")))</f>
        <v/>
      </c>
      <c r="AB73" s="41">
        <f>IF($A73="","",IF($P73="","",IFERROR(INDEX('Opportunities'!$Q$6:$Q$205,MATCH($P73,'Opportunities'!$A$6:$A$205,0)),"")))</f>
        <v/>
      </c>
      <c r="AC73" s="71">
        <f>IF($A73="","",IF($P73="","",IFERROR(INDEX('Opportunities'!$Z$6:$Z$205,MATCH($P73,'Opportunities'!$A$6:$A$205,0)),"")))</f>
        <v/>
      </c>
      <c r="AD73" s="71">
        <f>IF($A73="","",IF($P73="","",IFERROR(INDEX('Opportunities'!$AJ$6:$AJ$205,MATCH($P73,'Opportunities'!$A$6:$A$205,0)),"")))</f>
        <v/>
      </c>
      <c r="AE73" s="72">
        <f>IF($A73="","",IF($P73="","",IFERROR(INDEX('Opportunities'!$AA$6:$AA$205,MATCH($P73,'Opportunities'!$A$6:$A$205,0)),"")))</f>
        <v/>
      </c>
      <c r="AF73" s="73">
        <f>IF($A73="","",IF($P73="","",IFERROR(INDEX('Opportunities'!$AF$6:$AF$205,MATCH($P73,'Opportunities'!$A$6:$A$205,0)),"")))</f>
        <v/>
      </c>
      <c r="AG73" s="41">
        <f>IF($A73="","",IF($P73="","",IFERROR(INDEX('Opportunities'!$AB$6:$AB$205,MATCH($P73,'Opportunities'!$A$6:$A$205,0)),"")))</f>
        <v/>
      </c>
      <c r="AH73" s="74">
        <f>IF($A73="","",IF($P73="","",IFERROR(($U73+$V73-$J73-$K73)*24,0)))</f>
        <v/>
      </c>
      <c r="AI73" s="38">
        <f>IF($A73="","",IF($P73="","No load selected",IF($AH73&lt;IFERROR($Z73/'Settings'!$B$11,0)+'Settings'!$B$12,"Too tight",IF($AH73&gt;'Settings'!$B$13,"Long wait","Feasible"))))</f>
        <v/>
      </c>
      <c r="AJ73" s="41">
        <f>IF($A73="","",IF($P73="","",$N73-$Z73-$AB73))</f>
        <v/>
      </c>
      <c r="AK73" s="38">
        <f>IF($A73="","",IF(COUNTIF($A$6:$A$205,$A73)&gt;1,"Duplicate Trip ID",IF($P73="","Open",IF(COUNTIF('Opportunities'!$A$6:$A$205,$P73)=0,"Load ID not found",IF(COUNTIFS('Opportunities'!$A$6:$A$205,$P73,'Opportunities'!$B$6:$B$205,$A73)=0,"Trip mismatch",IF(COUNTIF($P$6:$P$205,$P73)&gt;1,"Duplicate selection",IF(AND(OR($O73="Booked",$O73="Completed"),AND($Q73&lt;&gt;"Booked",$Q73&lt;&gt;"Completed")),"Status mismatch","OK")))))))</f>
        <v/>
      </c>
      <c r="AL73" s="46" t="n"/>
    </row>
    <row r="74">
      <c r="A74" s="34" t="n"/>
      <c r="B74" s="34" t="n"/>
      <c r="C74" s="34" t="n"/>
      <c r="D74" s="34" t="n"/>
      <c r="E74" s="34" t="n"/>
      <c r="F74" s="34" t="n"/>
      <c r="G74" s="34" t="n"/>
      <c r="H74" s="69" t="n"/>
      <c r="I74" s="36" t="n"/>
      <c r="J74" s="69" t="n"/>
      <c r="K74" s="36" t="n"/>
      <c r="L74" s="34" t="n"/>
      <c r="M74" s="34" t="n"/>
      <c r="N74" s="37" t="n"/>
      <c r="O74" s="34" t="n"/>
      <c r="P74" s="34" t="n"/>
      <c r="Q74" s="38">
        <f>IF($A74="","",IF($P74="","",IFERROR(INDEX('Opportunities'!$C$6:$C$205,MATCH($P74,'Opportunities'!$A$6:$A$205,0)),"")))</f>
        <v/>
      </c>
      <c r="R74" s="38">
        <f>IF($A74="","",IF($P74="","",IFERROR(INDEX('Opportunities'!$D$6:$D$205,MATCH($P74,'Opportunities'!$A$6:$A$205,0)),"")))</f>
        <v/>
      </c>
      <c r="S74" s="38">
        <f>IF($A74="","",IF($P74="","",IFERROR(INDEX('Opportunities'!$E$6:$E$205,MATCH($P74,'Opportunities'!$A$6:$A$205,0)),"")))</f>
        <v/>
      </c>
      <c r="T74" s="38">
        <f>IF($A74="","",IF($P74="","",IFERROR(INDEX('Opportunities'!$F$6:$F$205,MATCH($P74,'Opportunities'!$A$6:$A$205,0)),"")))</f>
        <v/>
      </c>
      <c r="U74" s="70">
        <f>IF($A74="","",IF($P74="","",IFERROR(INDEX('Opportunities'!$G$6:$G$205,MATCH($P74,'Opportunities'!$A$6:$A$205,0)),"")))</f>
        <v/>
      </c>
      <c r="V74" s="40">
        <f>IF($A74="","",IF($P74="","",IFERROR(INDEX('Opportunities'!$H$6:$H$205,MATCH($P74,'Opportunities'!$A$6:$A$205,0)),"")))</f>
        <v/>
      </c>
      <c r="W74" s="38">
        <f>IF($A74="","",IF($P74="","",IFERROR(INDEX('Opportunities'!$I$6:$I$205,MATCH($P74,'Opportunities'!$A$6:$A$205,0)),"")))</f>
        <v/>
      </c>
      <c r="X74" s="38">
        <f>IF($A74="","",IF($P74="","",IFERROR(INDEX('Opportunities'!$J$6:$J$205,MATCH($P74,'Opportunities'!$A$6:$A$205,0)),"")))</f>
        <v/>
      </c>
      <c r="Y74" s="70">
        <f>IF($A74="","",IF($P74="","",IFERROR(INDEX('Opportunities'!$K$6:$K$205,MATCH($P74,'Opportunities'!$A$6:$A$205,0)),"")))</f>
        <v/>
      </c>
      <c r="Z74" s="41">
        <f>IF($A74="","",IF($P74="","",IFERROR(INDEX('Opportunities'!$O$6:$O$205,MATCH($P74,'Opportunities'!$A$6:$A$205,0)),"")))</f>
        <v/>
      </c>
      <c r="AA74" s="41">
        <f>IF($A74="","",IF($P74="","",IFERROR(INDEX('Opportunities'!$P$6:$P$205,MATCH($P74,'Opportunities'!$A$6:$A$205,0)),"")))</f>
        <v/>
      </c>
      <c r="AB74" s="41">
        <f>IF($A74="","",IF($P74="","",IFERROR(INDEX('Opportunities'!$Q$6:$Q$205,MATCH($P74,'Opportunities'!$A$6:$A$205,0)),"")))</f>
        <v/>
      </c>
      <c r="AC74" s="71">
        <f>IF($A74="","",IF($P74="","",IFERROR(INDEX('Opportunities'!$Z$6:$Z$205,MATCH($P74,'Opportunities'!$A$6:$A$205,0)),"")))</f>
        <v/>
      </c>
      <c r="AD74" s="71">
        <f>IF($A74="","",IF($P74="","",IFERROR(INDEX('Opportunities'!$AJ$6:$AJ$205,MATCH($P74,'Opportunities'!$A$6:$A$205,0)),"")))</f>
        <v/>
      </c>
      <c r="AE74" s="72">
        <f>IF($A74="","",IF($P74="","",IFERROR(INDEX('Opportunities'!$AA$6:$AA$205,MATCH($P74,'Opportunities'!$A$6:$A$205,0)),"")))</f>
        <v/>
      </c>
      <c r="AF74" s="73">
        <f>IF($A74="","",IF($P74="","",IFERROR(INDEX('Opportunities'!$AF$6:$AF$205,MATCH($P74,'Opportunities'!$A$6:$A$205,0)),"")))</f>
        <v/>
      </c>
      <c r="AG74" s="41">
        <f>IF($A74="","",IF($P74="","",IFERROR(INDEX('Opportunities'!$AB$6:$AB$205,MATCH($P74,'Opportunities'!$A$6:$A$205,0)),"")))</f>
        <v/>
      </c>
      <c r="AH74" s="74">
        <f>IF($A74="","",IF($P74="","",IFERROR(($U74+$V74-$J74-$K74)*24,0)))</f>
        <v/>
      </c>
      <c r="AI74" s="38">
        <f>IF($A74="","",IF($P74="","No load selected",IF($AH74&lt;IFERROR($Z74/'Settings'!$B$11,0)+'Settings'!$B$12,"Too tight",IF($AH74&gt;'Settings'!$B$13,"Long wait","Feasible"))))</f>
        <v/>
      </c>
      <c r="AJ74" s="41">
        <f>IF($A74="","",IF($P74="","",$N74-$Z74-$AB74))</f>
        <v/>
      </c>
      <c r="AK74" s="38">
        <f>IF($A74="","",IF(COUNTIF($A$6:$A$205,$A74)&gt;1,"Duplicate Trip ID",IF($P74="","Open",IF(COUNTIF('Opportunities'!$A$6:$A$205,$P74)=0,"Load ID not found",IF(COUNTIFS('Opportunities'!$A$6:$A$205,$P74,'Opportunities'!$B$6:$B$205,$A74)=0,"Trip mismatch",IF(COUNTIF($P$6:$P$205,$P74)&gt;1,"Duplicate selection",IF(AND(OR($O74="Booked",$O74="Completed"),AND($Q74&lt;&gt;"Booked",$Q74&lt;&gt;"Completed")),"Status mismatch","OK")))))))</f>
        <v/>
      </c>
      <c r="AL74" s="46" t="n"/>
    </row>
    <row r="75">
      <c r="A75" s="34" t="n"/>
      <c r="B75" s="34" t="n"/>
      <c r="C75" s="34" t="n"/>
      <c r="D75" s="34" t="n"/>
      <c r="E75" s="34" t="n"/>
      <c r="F75" s="34" t="n"/>
      <c r="G75" s="34" t="n"/>
      <c r="H75" s="69" t="n"/>
      <c r="I75" s="36" t="n"/>
      <c r="J75" s="69" t="n"/>
      <c r="K75" s="36" t="n"/>
      <c r="L75" s="34" t="n"/>
      <c r="M75" s="34" t="n"/>
      <c r="N75" s="37" t="n"/>
      <c r="O75" s="34" t="n"/>
      <c r="P75" s="34" t="n"/>
      <c r="Q75" s="38">
        <f>IF($A75="","",IF($P75="","",IFERROR(INDEX('Opportunities'!$C$6:$C$205,MATCH($P75,'Opportunities'!$A$6:$A$205,0)),"")))</f>
        <v/>
      </c>
      <c r="R75" s="38">
        <f>IF($A75="","",IF($P75="","",IFERROR(INDEX('Opportunities'!$D$6:$D$205,MATCH($P75,'Opportunities'!$A$6:$A$205,0)),"")))</f>
        <v/>
      </c>
      <c r="S75" s="38">
        <f>IF($A75="","",IF($P75="","",IFERROR(INDEX('Opportunities'!$E$6:$E$205,MATCH($P75,'Opportunities'!$A$6:$A$205,0)),"")))</f>
        <v/>
      </c>
      <c r="T75" s="38">
        <f>IF($A75="","",IF($P75="","",IFERROR(INDEX('Opportunities'!$F$6:$F$205,MATCH($P75,'Opportunities'!$A$6:$A$205,0)),"")))</f>
        <v/>
      </c>
      <c r="U75" s="70">
        <f>IF($A75="","",IF($P75="","",IFERROR(INDEX('Opportunities'!$G$6:$G$205,MATCH($P75,'Opportunities'!$A$6:$A$205,0)),"")))</f>
        <v/>
      </c>
      <c r="V75" s="40">
        <f>IF($A75="","",IF($P75="","",IFERROR(INDEX('Opportunities'!$H$6:$H$205,MATCH($P75,'Opportunities'!$A$6:$A$205,0)),"")))</f>
        <v/>
      </c>
      <c r="W75" s="38">
        <f>IF($A75="","",IF($P75="","",IFERROR(INDEX('Opportunities'!$I$6:$I$205,MATCH($P75,'Opportunities'!$A$6:$A$205,0)),"")))</f>
        <v/>
      </c>
      <c r="X75" s="38">
        <f>IF($A75="","",IF($P75="","",IFERROR(INDEX('Opportunities'!$J$6:$J$205,MATCH($P75,'Opportunities'!$A$6:$A$205,0)),"")))</f>
        <v/>
      </c>
      <c r="Y75" s="70">
        <f>IF($A75="","",IF($P75="","",IFERROR(INDEX('Opportunities'!$K$6:$K$205,MATCH($P75,'Opportunities'!$A$6:$A$205,0)),"")))</f>
        <v/>
      </c>
      <c r="Z75" s="41">
        <f>IF($A75="","",IF($P75="","",IFERROR(INDEX('Opportunities'!$O$6:$O$205,MATCH($P75,'Opportunities'!$A$6:$A$205,0)),"")))</f>
        <v/>
      </c>
      <c r="AA75" s="41">
        <f>IF($A75="","",IF($P75="","",IFERROR(INDEX('Opportunities'!$P$6:$P$205,MATCH($P75,'Opportunities'!$A$6:$A$205,0)),"")))</f>
        <v/>
      </c>
      <c r="AB75" s="41">
        <f>IF($A75="","",IF($P75="","",IFERROR(INDEX('Opportunities'!$Q$6:$Q$205,MATCH($P75,'Opportunities'!$A$6:$A$205,0)),"")))</f>
        <v/>
      </c>
      <c r="AC75" s="71">
        <f>IF($A75="","",IF($P75="","",IFERROR(INDEX('Opportunities'!$Z$6:$Z$205,MATCH($P75,'Opportunities'!$A$6:$A$205,0)),"")))</f>
        <v/>
      </c>
      <c r="AD75" s="71">
        <f>IF($A75="","",IF($P75="","",IFERROR(INDEX('Opportunities'!$AJ$6:$AJ$205,MATCH($P75,'Opportunities'!$A$6:$A$205,0)),"")))</f>
        <v/>
      </c>
      <c r="AE75" s="72">
        <f>IF($A75="","",IF($P75="","",IFERROR(INDEX('Opportunities'!$AA$6:$AA$205,MATCH($P75,'Opportunities'!$A$6:$A$205,0)),"")))</f>
        <v/>
      </c>
      <c r="AF75" s="73">
        <f>IF($A75="","",IF($P75="","",IFERROR(INDEX('Opportunities'!$AF$6:$AF$205,MATCH($P75,'Opportunities'!$A$6:$A$205,0)),"")))</f>
        <v/>
      </c>
      <c r="AG75" s="41">
        <f>IF($A75="","",IF($P75="","",IFERROR(INDEX('Opportunities'!$AB$6:$AB$205,MATCH($P75,'Opportunities'!$A$6:$A$205,0)),"")))</f>
        <v/>
      </c>
      <c r="AH75" s="74">
        <f>IF($A75="","",IF($P75="","",IFERROR(($U75+$V75-$J75-$K75)*24,0)))</f>
        <v/>
      </c>
      <c r="AI75" s="38">
        <f>IF($A75="","",IF($P75="","No load selected",IF($AH75&lt;IFERROR($Z75/'Settings'!$B$11,0)+'Settings'!$B$12,"Too tight",IF($AH75&gt;'Settings'!$B$13,"Long wait","Feasible"))))</f>
        <v/>
      </c>
      <c r="AJ75" s="41">
        <f>IF($A75="","",IF($P75="","",$N75-$Z75-$AB75))</f>
        <v/>
      </c>
      <c r="AK75" s="38">
        <f>IF($A75="","",IF(COUNTIF($A$6:$A$205,$A75)&gt;1,"Duplicate Trip ID",IF($P75="","Open",IF(COUNTIF('Opportunities'!$A$6:$A$205,$P75)=0,"Load ID not found",IF(COUNTIFS('Opportunities'!$A$6:$A$205,$P75,'Opportunities'!$B$6:$B$205,$A75)=0,"Trip mismatch",IF(COUNTIF($P$6:$P$205,$P75)&gt;1,"Duplicate selection",IF(AND(OR($O75="Booked",$O75="Completed"),AND($Q75&lt;&gt;"Booked",$Q75&lt;&gt;"Completed")),"Status mismatch","OK")))))))</f>
        <v/>
      </c>
      <c r="AL75" s="46" t="n"/>
    </row>
    <row r="76">
      <c r="A76" s="34" t="n"/>
      <c r="B76" s="34" t="n"/>
      <c r="C76" s="34" t="n"/>
      <c r="D76" s="34" t="n"/>
      <c r="E76" s="34" t="n"/>
      <c r="F76" s="34" t="n"/>
      <c r="G76" s="34" t="n"/>
      <c r="H76" s="69" t="n"/>
      <c r="I76" s="36" t="n"/>
      <c r="J76" s="69" t="n"/>
      <c r="K76" s="36" t="n"/>
      <c r="L76" s="34" t="n"/>
      <c r="M76" s="34" t="n"/>
      <c r="N76" s="37" t="n"/>
      <c r="O76" s="34" t="n"/>
      <c r="P76" s="34" t="n"/>
      <c r="Q76" s="38">
        <f>IF($A76="","",IF($P76="","",IFERROR(INDEX('Opportunities'!$C$6:$C$205,MATCH($P76,'Opportunities'!$A$6:$A$205,0)),"")))</f>
        <v/>
      </c>
      <c r="R76" s="38">
        <f>IF($A76="","",IF($P76="","",IFERROR(INDEX('Opportunities'!$D$6:$D$205,MATCH($P76,'Opportunities'!$A$6:$A$205,0)),"")))</f>
        <v/>
      </c>
      <c r="S76" s="38">
        <f>IF($A76="","",IF($P76="","",IFERROR(INDEX('Opportunities'!$E$6:$E$205,MATCH($P76,'Opportunities'!$A$6:$A$205,0)),"")))</f>
        <v/>
      </c>
      <c r="T76" s="38">
        <f>IF($A76="","",IF($P76="","",IFERROR(INDEX('Opportunities'!$F$6:$F$205,MATCH($P76,'Opportunities'!$A$6:$A$205,0)),"")))</f>
        <v/>
      </c>
      <c r="U76" s="70">
        <f>IF($A76="","",IF($P76="","",IFERROR(INDEX('Opportunities'!$G$6:$G$205,MATCH($P76,'Opportunities'!$A$6:$A$205,0)),"")))</f>
        <v/>
      </c>
      <c r="V76" s="40">
        <f>IF($A76="","",IF($P76="","",IFERROR(INDEX('Opportunities'!$H$6:$H$205,MATCH($P76,'Opportunities'!$A$6:$A$205,0)),"")))</f>
        <v/>
      </c>
      <c r="W76" s="38">
        <f>IF($A76="","",IF($P76="","",IFERROR(INDEX('Opportunities'!$I$6:$I$205,MATCH($P76,'Opportunities'!$A$6:$A$205,0)),"")))</f>
        <v/>
      </c>
      <c r="X76" s="38">
        <f>IF($A76="","",IF($P76="","",IFERROR(INDEX('Opportunities'!$J$6:$J$205,MATCH($P76,'Opportunities'!$A$6:$A$205,0)),"")))</f>
        <v/>
      </c>
      <c r="Y76" s="70">
        <f>IF($A76="","",IF($P76="","",IFERROR(INDEX('Opportunities'!$K$6:$K$205,MATCH($P76,'Opportunities'!$A$6:$A$205,0)),"")))</f>
        <v/>
      </c>
      <c r="Z76" s="41">
        <f>IF($A76="","",IF($P76="","",IFERROR(INDEX('Opportunities'!$O$6:$O$205,MATCH($P76,'Opportunities'!$A$6:$A$205,0)),"")))</f>
        <v/>
      </c>
      <c r="AA76" s="41">
        <f>IF($A76="","",IF($P76="","",IFERROR(INDEX('Opportunities'!$P$6:$P$205,MATCH($P76,'Opportunities'!$A$6:$A$205,0)),"")))</f>
        <v/>
      </c>
      <c r="AB76" s="41">
        <f>IF($A76="","",IF($P76="","",IFERROR(INDEX('Opportunities'!$Q$6:$Q$205,MATCH($P76,'Opportunities'!$A$6:$A$205,0)),"")))</f>
        <v/>
      </c>
      <c r="AC76" s="71">
        <f>IF($A76="","",IF($P76="","",IFERROR(INDEX('Opportunities'!$Z$6:$Z$205,MATCH($P76,'Opportunities'!$A$6:$A$205,0)),"")))</f>
        <v/>
      </c>
      <c r="AD76" s="71">
        <f>IF($A76="","",IF($P76="","",IFERROR(INDEX('Opportunities'!$AJ$6:$AJ$205,MATCH($P76,'Opportunities'!$A$6:$A$205,0)),"")))</f>
        <v/>
      </c>
      <c r="AE76" s="72">
        <f>IF($A76="","",IF($P76="","",IFERROR(INDEX('Opportunities'!$AA$6:$AA$205,MATCH($P76,'Opportunities'!$A$6:$A$205,0)),"")))</f>
        <v/>
      </c>
      <c r="AF76" s="73">
        <f>IF($A76="","",IF($P76="","",IFERROR(INDEX('Opportunities'!$AF$6:$AF$205,MATCH($P76,'Opportunities'!$A$6:$A$205,0)),"")))</f>
        <v/>
      </c>
      <c r="AG76" s="41">
        <f>IF($A76="","",IF($P76="","",IFERROR(INDEX('Opportunities'!$AB$6:$AB$205,MATCH($P76,'Opportunities'!$A$6:$A$205,0)),"")))</f>
        <v/>
      </c>
      <c r="AH76" s="74">
        <f>IF($A76="","",IF($P76="","",IFERROR(($U76+$V76-$J76-$K76)*24,0)))</f>
        <v/>
      </c>
      <c r="AI76" s="38">
        <f>IF($A76="","",IF($P76="","No load selected",IF($AH76&lt;IFERROR($Z76/'Settings'!$B$11,0)+'Settings'!$B$12,"Too tight",IF($AH76&gt;'Settings'!$B$13,"Long wait","Feasible"))))</f>
        <v/>
      </c>
      <c r="AJ76" s="41">
        <f>IF($A76="","",IF($P76="","",$N76-$Z76-$AB76))</f>
        <v/>
      </c>
      <c r="AK76" s="38">
        <f>IF($A76="","",IF(COUNTIF($A$6:$A$205,$A76)&gt;1,"Duplicate Trip ID",IF($P76="","Open",IF(COUNTIF('Opportunities'!$A$6:$A$205,$P76)=0,"Load ID not found",IF(COUNTIFS('Opportunities'!$A$6:$A$205,$P76,'Opportunities'!$B$6:$B$205,$A76)=0,"Trip mismatch",IF(COUNTIF($P$6:$P$205,$P76)&gt;1,"Duplicate selection",IF(AND(OR($O76="Booked",$O76="Completed"),AND($Q76&lt;&gt;"Booked",$Q76&lt;&gt;"Completed")),"Status mismatch","OK")))))))</f>
        <v/>
      </c>
      <c r="AL76" s="46" t="n"/>
    </row>
    <row r="77">
      <c r="A77" s="34" t="n"/>
      <c r="B77" s="34" t="n"/>
      <c r="C77" s="34" t="n"/>
      <c r="D77" s="34" t="n"/>
      <c r="E77" s="34" t="n"/>
      <c r="F77" s="34" t="n"/>
      <c r="G77" s="34" t="n"/>
      <c r="H77" s="69" t="n"/>
      <c r="I77" s="36" t="n"/>
      <c r="J77" s="69" t="n"/>
      <c r="K77" s="36" t="n"/>
      <c r="L77" s="34" t="n"/>
      <c r="M77" s="34" t="n"/>
      <c r="N77" s="37" t="n"/>
      <c r="O77" s="34" t="n"/>
      <c r="P77" s="34" t="n"/>
      <c r="Q77" s="38">
        <f>IF($A77="","",IF($P77="","",IFERROR(INDEX('Opportunities'!$C$6:$C$205,MATCH($P77,'Opportunities'!$A$6:$A$205,0)),"")))</f>
        <v/>
      </c>
      <c r="R77" s="38">
        <f>IF($A77="","",IF($P77="","",IFERROR(INDEX('Opportunities'!$D$6:$D$205,MATCH($P77,'Opportunities'!$A$6:$A$205,0)),"")))</f>
        <v/>
      </c>
      <c r="S77" s="38">
        <f>IF($A77="","",IF($P77="","",IFERROR(INDEX('Opportunities'!$E$6:$E$205,MATCH($P77,'Opportunities'!$A$6:$A$205,0)),"")))</f>
        <v/>
      </c>
      <c r="T77" s="38">
        <f>IF($A77="","",IF($P77="","",IFERROR(INDEX('Opportunities'!$F$6:$F$205,MATCH($P77,'Opportunities'!$A$6:$A$205,0)),"")))</f>
        <v/>
      </c>
      <c r="U77" s="70">
        <f>IF($A77="","",IF($P77="","",IFERROR(INDEX('Opportunities'!$G$6:$G$205,MATCH($P77,'Opportunities'!$A$6:$A$205,0)),"")))</f>
        <v/>
      </c>
      <c r="V77" s="40">
        <f>IF($A77="","",IF($P77="","",IFERROR(INDEX('Opportunities'!$H$6:$H$205,MATCH($P77,'Opportunities'!$A$6:$A$205,0)),"")))</f>
        <v/>
      </c>
      <c r="W77" s="38">
        <f>IF($A77="","",IF($P77="","",IFERROR(INDEX('Opportunities'!$I$6:$I$205,MATCH($P77,'Opportunities'!$A$6:$A$205,0)),"")))</f>
        <v/>
      </c>
      <c r="X77" s="38">
        <f>IF($A77="","",IF($P77="","",IFERROR(INDEX('Opportunities'!$J$6:$J$205,MATCH($P77,'Opportunities'!$A$6:$A$205,0)),"")))</f>
        <v/>
      </c>
      <c r="Y77" s="70">
        <f>IF($A77="","",IF($P77="","",IFERROR(INDEX('Opportunities'!$K$6:$K$205,MATCH($P77,'Opportunities'!$A$6:$A$205,0)),"")))</f>
        <v/>
      </c>
      <c r="Z77" s="41">
        <f>IF($A77="","",IF($P77="","",IFERROR(INDEX('Opportunities'!$O$6:$O$205,MATCH($P77,'Opportunities'!$A$6:$A$205,0)),"")))</f>
        <v/>
      </c>
      <c r="AA77" s="41">
        <f>IF($A77="","",IF($P77="","",IFERROR(INDEX('Opportunities'!$P$6:$P$205,MATCH($P77,'Opportunities'!$A$6:$A$205,0)),"")))</f>
        <v/>
      </c>
      <c r="AB77" s="41">
        <f>IF($A77="","",IF($P77="","",IFERROR(INDEX('Opportunities'!$Q$6:$Q$205,MATCH($P77,'Opportunities'!$A$6:$A$205,0)),"")))</f>
        <v/>
      </c>
      <c r="AC77" s="71">
        <f>IF($A77="","",IF($P77="","",IFERROR(INDEX('Opportunities'!$Z$6:$Z$205,MATCH($P77,'Opportunities'!$A$6:$A$205,0)),"")))</f>
        <v/>
      </c>
      <c r="AD77" s="71">
        <f>IF($A77="","",IF($P77="","",IFERROR(INDEX('Opportunities'!$AJ$6:$AJ$205,MATCH($P77,'Opportunities'!$A$6:$A$205,0)),"")))</f>
        <v/>
      </c>
      <c r="AE77" s="72">
        <f>IF($A77="","",IF($P77="","",IFERROR(INDEX('Opportunities'!$AA$6:$AA$205,MATCH($P77,'Opportunities'!$A$6:$A$205,0)),"")))</f>
        <v/>
      </c>
      <c r="AF77" s="73">
        <f>IF($A77="","",IF($P77="","",IFERROR(INDEX('Opportunities'!$AF$6:$AF$205,MATCH($P77,'Opportunities'!$A$6:$A$205,0)),"")))</f>
        <v/>
      </c>
      <c r="AG77" s="41">
        <f>IF($A77="","",IF($P77="","",IFERROR(INDEX('Opportunities'!$AB$6:$AB$205,MATCH($P77,'Opportunities'!$A$6:$A$205,0)),"")))</f>
        <v/>
      </c>
      <c r="AH77" s="74">
        <f>IF($A77="","",IF($P77="","",IFERROR(($U77+$V77-$J77-$K77)*24,0)))</f>
        <v/>
      </c>
      <c r="AI77" s="38">
        <f>IF($A77="","",IF($P77="","No load selected",IF($AH77&lt;IFERROR($Z77/'Settings'!$B$11,0)+'Settings'!$B$12,"Too tight",IF($AH77&gt;'Settings'!$B$13,"Long wait","Feasible"))))</f>
        <v/>
      </c>
      <c r="AJ77" s="41">
        <f>IF($A77="","",IF($P77="","",$N77-$Z77-$AB77))</f>
        <v/>
      </c>
      <c r="AK77" s="38">
        <f>IF($A77="","",IF(COUNTIF($A$6:$A$205,$A77)&gt;1,"Duplicate Trip ID",IF($P77="","Open",IF(COUNTIF('Opportunities'!$A$6:$A$205,$P77)=0,"Load ID not found",IF(COUNTIFS('Opportunities'!$A$6:$A$205,$P77,'Opportunities'!$B$6:$B$205,$A77)=0,"Trip mismatch",IF(COUNTIF($P$6:$P$205,$P77)&gt;1,"Duplicate selection",IF(AND(OR($O77="Booked",$O77="Completed"),AND($Q77&lt;&gt;"Booked",$Q77&lt;&gt;"Completed")),"Status mismatch","OK")))))))</f>
        <v/>
      </c>
      <c r="AL77" s="46" t="n"/>
    </row>
    <row r="78">
      <c r="A78" s="34" t="n"/>
      <c r="B78" s="34" t="n"/>
      <c r="C78" s="34" t="n"/>
      <c r="D78" s="34" t="n"/>
      <c r="E78" s="34" t="n"/>
      <c r="F78" s="34" t="n"/>
      <c r="G78" s="34" t="n"/>
      <c r="H78" s="69" t="n"/>
      <c r="I78" s="36" t="n"/>
      <c r="J78" s="69" t="n"/>
      <c r="K78" s="36" t="n"/>
      <c r="L78" s="34" t="n"/>
      <c r="M78" s="34" t="n"/>
      <c r="N78" s="37" t="n"/>
      <c r="O78" s="34" t="n"/>
      <c r="P78" s="34" t="n"/>
      <c r="Q78" s="38">
        <f>IF($A78="","",IF($P78="","",IFERROR(INDEX('Opportunities'!$C$6:$C$205,MATCH($P78,'Opportunities'!$A$6:$A$205,0)),"")))</f>
        <v/>
      </c>
      <c r="R78" s="38">
        <f>IF($A78="","",IF($P78="","",IFERROR(INDEX('Opportunities'!$D$6:$D$205,MATCH($P78,'Opportunities'!$A$6:$A$205,0)),"")))</f>
        <v/>
      </c>
      <c r="S78" s="38">
        <f>IF($A78="","",IF($P78="","",IFERROR(INDEX('Opportunities'!$E$6:$E$205,MATCH($P78,'Opportunities'!$A$6:$A$205,0)),"")))</f>
        <v/>
      </c>
      <c r="T78" s="38">
        <f>IF($A78="","",IF($P78="","",IFERROR(INDEX('Opportunities'!$F$6:$F$205,MATCH($P78,'Opportunities'!$A$6:$A$205,0)),"")))</f>
        <v/>
      </c>
      <c r="U78" s="70">
        <f>IF($A78="","",IF($P78="","",IFERROR(INDEX('Opportunities'!$G$6:$G$205,MATCH($P78,'Opportunities'!$A$6:$A$205,0)),"")))</f>
        <v/>
      </c>
      <c r="V78" s="40">
        <f>IF($A78="","",IF($P78="","",IFERROR(INDEX('Opportunities'!$H$6:$H$205,MATCH($P78,'Opportunities'!$A$6:$A$205,0)),"")))</f>
        <v/>
      </c>
      <c r="W78" s="38">
        <f>IF($A78="","",IF($P78="","",IFERROR(INDEX('Opportunities'!$I$6:$I$205,MATCH($P78,'Opportunities'!$A$6:$A$205,0)),"")))</f>
        <v/>
      </c>
      <c r="X78" s="38">
        <f>IF($A78="","",IF($P78="","",IFERROR(INDEX('Opportunities'!$J$6:$J$205,MATCH($P78,'Opportunities'!$A$6:$A$205,0)),"")))</f>
        <v/>
      </c>
      <c r="Y78" s="70">
        <f>IF($A78="","",IF($P78="","",IFERROR(INDEX('Opportunities'!$K$6:$K$205,MATCH($P78,'Opportunities'!$A$6:$A$205,0)),"")))</f>
        <v/>
      </c>
      <c r="Z78" s="41">
        <f>IF($A78="","",IF($P78="","",IFERROR(INDEX('Opportunities'!$O$6:$O$205,MATCH($P78,'Opportunities'!$A$6:$A$205,0)),"")))</f>
        <v/>
      </c>
      <c r="AA78" s="41">
        <f>IF($A78="","",IF($P78="","",IFERROR(INDEX('Opportunities'!$P$6:$P$205,MATCH($P78,'Opportunities'!$A$6:$A$205,0)),"")))</f>
        <v/>
      </c>
      <c r="AB78" s="41">
        <f>IF($A78="","",IF($P78="","",IFERROR(INDEX('Opportunities'!$Q$6:$Q$205,MATCH($P78,'Opportunities'!$A$6:$A$205,0)),"")))</f>
        <v/>
      </c>
      <c r="AC78" s="71">
        <f>IF($A78="","",IF($P78="","",IFERROR(INDEX('Opportunities'!$Z$6:$Z$205,MATCH($P78,'Opportunities'!$A$6:$A$205,0)),"")))</f>
        <v/>
      </c>
      <c r="AD78" s="71">
        <f>IF($A78="","",IF($P78="","",IFERROR(INDEX('Opportunities'!$AJ$6:$AJ$205,MATCH($P78,'Opportunities'!$A$6:$A$205,0)),"")))</f>
        <v/>
      </c>
      <c r="AE78" s="72">
        <f>IF($A78="","",IF($P78="","",IFERROR(INDEX('Opportunities'!$AA$6:$AA$205,MATCH($P78,'Opportunities'!$A$6:$A$205,0)),"")))</f>
        <v/>
      </c>
      <c r="AF78" s="73">
        <f>IF($A78="","",IF($P78="","",IFERROR(INDEX('Opportunities'!$AF$6:$AF$205,MATCH($P78,'Opportunities'!$A$6:$A$205,0)),"")))</f>
        <v/>
      </c>
      <c r="AG78" s="41">
        <f>IF($A78="","",IF($P78="","",IFERROR(INDEX('Opportunities'!$AB$6:$AB$205,MATCH($P78,'Opportunities'!$A$6:$A$205,0)),"")))</f>
        <v/>
      </c>
      <c r="AH78" s="74">
        <f>IF($A78="","",IF($P78="","",IFERROR(($U78+$V78-$J78-$K78)*24,0)))</f>
        <v/>
      </c>
      <c r="AI78" s="38">
        <f>IF($A78="","",IF($P78="","No load selected",IF($AH78&lt;IFERROR($Z78/'Settings'!$B$11,0)+'Settings'!$B$12,"Too tight",IF($AH78&gt;'Settings'!$B$13,"Long wait","Feasible"))))</f>
        <v/>
      </c>
      <c r="AJ78" s="41">
        <f>IF($A78="","",IF($P78="","",$N78-$Z78-$AB78))</f>
        <v/>
      </c>
      <c r="AK78" s="38">
        <f>IF($A78="","",IF(COUNTIF($A$6:$A$205,$A78)&gt;1,"Duplicate Trip ID",IF($P78="","Open",IF(COUNTIF('Opportunities'!$A$6:$A$205,$P78)=0,"Load ID not found",IF(COUNTIFS('Opportunities'!$A$6:$A$205,$P78,'Opportunities'!$B$6:$B$205,$A78)=0,"Trip mismatch",IF(COUNTIF($P$6:$P$205,$P78)&gt;1,"Duplicate selection",IF(AND(OR($O78="Booked",$O78="Completed"),AND($Q78&lt;&gt;"Booked",$Q78&lt;&gt;"Completed")),"Status mismatch","OK")))))))</f>
        <v/>
      </c>
      <c r="AL78" s="46" t="n"/>
    </row>
    <row r="79">
      <c r="A79" s="34" t="n"/>
      <c r="B79" s="34" t="n"/>
      <c r="C79" s="34" t="n"/>
      <c r="D79" s="34" t="n"/>
      <c r="E79" s="34" t="n"/>
      <c r="F79" s="34" t="n"/>
      <c r="G79" s="34" t="n"/>
      <c r="H79" s="69" t="n"/>
      <c r="I79" s="36" t="n"/>
      <c r="J79" s="69" t="n"/>
      <c r="K79" s="36" t="n"/>
      <c r="L79" s="34" t="n"/>
      <c r="M79" s="34" t="n"/>
      <c r="N79" s="37" t="n"/>
      <c r="O79" s="34" t="n"/>
      <c r="P79" s="34" t="n"/>
      <c r="Q79" s="38">
        <f>IF($A79="","",IF($P79="","",IFERROR(INDEX('Opportunities'!$C$6:$C$205,MATCH($P79,'Opportunities'!$A$6:$A$205,0)),"")))</f>
        <v/>
      </c>
      <c r="R79" s="38">
        <f>IF($A79="","",IF($P79="","",IFERROR(INDEX('Opportunities'!$D$6:$D$205,MATCH($P79,'Opportunities'!$A$6:$A$205,0)),"")))</f>
        <v/>
      </c>
      <c r="S79" s="38">
        <f>IF($A79="","",IF($P79="","",IFERROR(INDEX('Opportunities'!$E$6:$E$205,MATCH($P79,'Opportunities'!$A$6:$A$205,0)),"")))</f>
        <v/>
      </c>
      <c r="T79" s="38">
        <f>IF($A79="","",IF($P79="","",IFERROR(INDEX('Opportunities'!$F$6:$F$205,MATCH($P79,'Opportunities'!$A$6:$A$205,0)),"")))</f>
        <v/>
      </c>
      <c r="U79" s="70">
        <f>IF($A79="","",IF($P79="","",IFERROR(INDEX('Opportunities'!$G$6:$G$205,MATCH($P79,'Opportunities'!$A$6:$A$205,0)),"")))</f>
        <v/>
      </c>
      <c r="V79" s="40">
        <f>IF($A79="","",IF($P79="","",IFERROR(INDEX('Opportunities'!$H$6:$H$205,MATCH($P79,'Opportunities'!$A$6:$A$205,0)),"")))</f>
        <v/>
      </c>
      <c r="W79" s="38">
        <f>IF($A79="","",IF($P79="","",IFERROR(INDEX('Opportunities'!$I$6:$I$205,MATCH($P79,'Opportunities'!$A$6:$A$205,0)),"")))</f>
        <v/>
      </c>
      <c r="X79" s="38">
        <f>IF($A79="","",IF($P79="","",IFERROR(INDEX('Opportunities'!$J$6:$J$205,MATCH($P79,'Opportunities'!$A$6:$A$205,0)),"")))</f>
        <v/>
      </c>
      <c r="Y79" s="70">
        <f>IF($A79="","",IF($P79="","",IFERROR(INDEX('Opportunities'!$K$6:$K$205,MATCH($P79,'Opportunities'!$A$6:$A$205,0)),"")))</f>
        <v/>
      </c>
      <c r="Z79" s="41">
        <f>IF($A79="","",IF($P79="","",IFERROR(INDEX('Opportunities'!$O$6:$O$205,MATCH($P79,'Opportunities'!$A$6:$A$205,0)),"")))</f>
        <v/>
      </c>
      <c r="AA79" s="41">
        <f>IF($A79="","",IF($P79="","",IFERROR(INDEX('Opportunities'!$P$6:$P$205,MATCH($P79,'Opportunities'!$A$6:$A$205,0)),"")))</f>
        <v/>
      </c>
      <c r="AB79" s="41">
        <f>IF($A79="","",IF($P79="","",IFERROR(INDEX('Opportunities'!$Q$6:$Q$205,MATCH($P79,'Opportunities'!$A$6:$A$205,0)),"")))</f>
        <v/>
      </c>
      <c r="AC79" s="71">
        <f>IF($A79="","",IF($P79="","",IFERROR(INDEX('Opportunities'!$Z$6:$Z$205,MATCH($P79,'Opportunities'!$A$6:$A$205,0)),"")))</f>
        <v/>
      </c>
      <c r="AD79" s="71">
        <f>IF($A79="","",IF($P79="","",IFERROR(INDEX('Opportunities'!$AJ$6:$AJ$205,MATCH($P79,'Opportunities'!$A$6:$A$205,0)),"")))</f>
        <v/>
      </c>
      <c r="AE79" s="72">
        <f>IF($A79="","",IF($P79="","",IFERROR(INDEX('Opportunities'!$AA$6:$AA$205,MATCH($P79,'Opportunities'!$A$6:$A$205,0)),"")))</f>
        <v/>
      </c>
      <c r="AF79" s="73">
        <f>IF($A79="","",IF($P79="","",IFERROR(INDEX('Opportunities'!$AF$6:$AF$205,MATCH($P79,'Opportunities'!$A$6:$A$205,0)),"")))</f>
        <v/>
      </c>
      <c r="AG79" s="41">
        <f>IF($A79="","",IF($P79="","",IFERROR(INDEX('Opportunities'!$AB$6:$AB$205,MATCH($P79,'Opportunities'!$A$6:$A$205,0)),"")))</f>
        <v/>
      </c>
      <c r="AH79" s="74">
        <f>IF($A79="","",IF($P79="","",IFERROR(($U79+$V79-$J79-$K79)*24,0)))</f>
        <v/>
      </c>
      <c r="AI79" s="38">
        <f>IF($A79="","",IF($P79="","No load selected",IF($AH79&lt;IFERROR($Z79/'Settings'!$B$11,0)+'Settings'!$B$12,"Too tight",IF($AH79&gt;'Settings'!$B$13,"Long wait","Feasible"))))</f>
        <v/>
      </c>
      <c r="AJ79" s="41">
        <f>IF($A79="","",IF($P79="","",$N79-$Z79-$AB79))</f>
        <v/>
      </c>
      <c r="AK79" s="38">
        <f>IF($A79="","",IF(COUNTIF($A$6:$A$205,$A79)&gt;1,"Duplicate Trip ID",IF($P79="","Open",IF(COUNTIF('Opportunities'!$A$6:$A$205,$P79)=0,"Load ID not found",IF(COUNTIFS('Opportunities'!$A$6:$A$205,$P79,'Opportunities'!$B$6:$B$205,$A79)=0,"Trip mismatch",IF(COUNTIF($P$6:$P$205,$P79)&gt;1,"Duplicate selection",IF(AND(OR($O79="Booked",$O79="Completed"),AND($Q79&lt;&gt;"Booked",$Q79&lt;&gt;"Completed")),"Status mismatch","OK")))))))</f>
        <v/>
      </c>
      <c r="AL79" s="46" t="n"/>
    </row>
    <row r="80">
      <c r="A80" s="34" t="n"/>
      <c r="B80" s="34" t="n"/>
      <c r="C80" s="34" t="n"/>
      <c r="D80" s="34" t="n"/>
      <c r="E80" s="34" t="n"/>
      <c r="F80" s="34" t="n"/>
      <c r="G80" s="34" t="n"/>
      <c r="H80" s="69" t="n"/>
      <c r="I80" s="36" t="n"/>
      <c r="J80" s="69" t="n"/>
      <c r="K80" s="36" t="n"/>
      <c r="L80" s="34" t="n"/>
      <c r="M80" s="34" t="n"/>
      <c r="N80" s="37" t="n"/>
      <c r="O80" s="34" t="n"/>
      <c r="P80" s="34" t="n"/>
      <c r="Q80" s="38">
        <f>IF($A80="","",IF($P80="","",IFERROR(INDEX('Opportunities'!$C$6:$C$205,MATCH($P80,'Opportunities'!$A$6:$A$205,0)),"")))</f>
        <v/>
      </c>
      <c r="R80" s="38">
        <f>IF($A80="","",IF($P80="","",IFERROR(INDEX('Opportunities'!$D$6:$D$205,MATCH($P80,'Opportunities'!$A$6:$A$205,0)),"")))</f>
        <v/>
      </c>
      <c r="S80" s="38">
        <f>IF($A80="","",IF($P80="","",IFERROR(INDEX('Opportunities'!$E$6:$E$205,MATCH($P80,'Opportunities'!$A$6:$A$205,0)),"")))</f>
        <v/>
      </c>
      <c r="T80" s="38">
        <f>IF($A80="","",IF($P80="","",IFERROR(INDEX('Opportunities'!$F$6:$F$205,MATCH($P80,'Opportunities'!$A$6:$A$205,0)),"")))</f>
        <v/>
      </c>
      <c r="U80" s="70">
        <f>IF($A80="","",IF($P80="","",IFERROR(INDEX('Opportunities'!$G$6:$G$205,MATCH($P80,'Opportunities'!$A$6:$A$205,0)),"")))</f>
        <v/>
      </c>
      <c r="V80" s="40">
        <f>IF($A80="","",IF($P80="","",IFERROR(INDEX('Opportunities'!$H$6:$H$205,MATCH($P80,'Opportunities'!$A$6:$A$205,0)),"")))</f>
        <v/>
      </c>
      <c r="W80" s="38">
        <f>IF($A80="","",IF($P80="","",IFERROR(INDEX('Opportunities'!$I$6:$I$205,MATCH($P80,'Opportunities'!$A$6:$A$205,0)),"")))</f>
        <v/>
      </c>
      <c r="X80" s="38">
        <f>IF($A80="","",IF($P80="","",IFERROR(INDEX('Opportunities'!$J$6:$J$205,MATCH($P80,'Opportunities'!$A$6:$A$205,0)),"")))</f>
        <v/>
      </c>
      <c r="Y80" s="70">
        <f>IF($A80="","",IF($P80="","",IFERROR(INDEX('Opportunities'!$K$6:$K$205,MATCH($P80,'Opportunities'!$A$6:$A$205,0)),"")))</f>
        <v/>
      </c>
      <c r="Z80" s="41">
        <f>IF($A80="","",IF($P80="","",IFERROR(INDEX('Opportunities'!$O$6:$O$205,MATCH($P80,'Opportunities'!$A$6:$A$205,0)),"")))</f>
        <v/>
      </c>
      <c r="AA80" s="41">
        <f>IF($A80="","",IF($P80="","",IFERROR(INDEX('Opportunities'!$P$6:$P$205,MATCH($P80,'Opportunities'!$A$6:$A$205,0)),"")))</f>
        <v/>
      </c>
      <c r="AB80" s="41">
        <f>IF($A80="","",IF($P80="","",IFERROR(INDEX('Opportunities'!$Q$6:$Q$205,MATCH($P80,'Opportunities'!$A$6:$A$205,0)),"")))</f>
        <v/>
      </c>
      <c r="AC80" s="71">
        <f>IF($A80="","",IF($P80="","",IFERROR(INDEX('Opportunities'!$Z$6:$Z$205,MATCH($P80,'Opportunities'!$A$6:$A$205,0)),"")))</f>
        <v/>
      </c>
      <c r="AD80" s="71">
        <f>IF($A80="","",IF($P80="","",IFERROR(INDEX('Opportunities'!$AJ$6:$AJ$205,MATCH($P80,'Opportunities'!$A$6:$A$205,0)),"")))</f>
        <v/>
      </c>
      <c r="AE80" s="72">
        <f>IF($A80="","",IF($P80="","",IFERROR(INDEX('Opportunities'!$AA$6:$AA$205,MATCH($P80,'Opportunities'!$A$6:$A$205,0)),"")))</f>
        <v/>
      </c>
      <c r="AF80" s="73">
        <f>IF($A80="","",IF($P80="","",IFERROR(INDEX('Opportunities'!$AF$6:$AF$205,MATCH($P80,'Opportunities'!$A$6:$A$205,0)),"")))</f>
        <v/>
      </c>
      <c r="AG80" s="41">
        <f>IF($A80="","",IF($P80="","",IFERROR(INDEX('Opportunities'!$AB$6:$AB$205,MATCH($P80,'Opportunities'!$A$6:$A$205,0)),"")))</f>
        <v/>
      </c>
      <c r="AH80" s="74">
        <f>IF($A80="","",IF($P80="","",IFERROR(($U80+$V80-$J80-$K80)*24,0)))</f>
        <v/>
      </c>
      <c r="AI80" s="38">
        <f>IF($A80="","",IF($P80="","No load selected",IF($AH80&lt;IFERROR($Z80/'Settings'!$B$11,0)+'Settings'!$B$12,"Too tight",IF($AH80&gt;'Settings'!$B$13,"Long wait","Feasible"))))</f>
        <v/>
      </c>
      <c r="AJ80" s="41">
        <f>IF($A80="","",IF($P80="","",$N80-$Z80-$AB80))</f>
        <v/>
      </c>
      <c r="AK80" s="38">
        <f>IF($A80="","",IF(COUNTIF($A$6:$A$205,$A80)&gt;1,"Duplicate Trip ID",IF($P80="","Open",IF(COUNTIF('Opportunities'!$A$6:$A$205,$P80)=0,"Load ID not found",IF(COUNTIFS('Opportunities'!$A$6:$A$205,$P80,'Opportunities'!$B$6:$B$205,$A80)=0,"Trip mismatch",IF(COUNTIF($P$6:$P$205,$P80)&gt;1,"Duplicate selection",IF(AND(OR($O80="Booked",$O80="Completed"),AND($Q80&lt;&gt;"Booked",$Q80&lt;&gt;"Completed")),"Status mismatch","OK")))))))</f>
        <v/>
      </c>
      <c r="AL80" s="46" t="n"/>
    </row>
    <row r="81">
      <c r="A81" s="34" t="n"/>
      <c r="B81" s="34" t="n"/>
      <c r="C81" s="34" t="n"/>
      <c r="D81" s="34" t="n"/>
      <c r="E81" s="34" t="n"/>
      <c r="F81" s="34" t="n"/>
      <c r="G81" s="34" t="n"/>
      <c r="H81" s="69" t="n"/>
      <c r="I81" s="36" t="n"/>
      <c r="J81" s="69" t="n"/>
      <c r="K81" s="36" t="n"/>
      <c r="L81" s="34" t="n"/>
      <c r="M81" s="34" t="n"/>
      <c r="N81" s="37" t="n"/>
      <c r="O81" s="34" t="n"/>
      <c r="P81" s="34" t="n"/>
      <c r="Q81" s="38">
        <f>IF($A81="","",IF($P81="","",IFERROR(INDEX('Opportunities'!$C$6:$C$205,MATCH($P81,'Opportunities'!$A$6:$A$205,0)),"")))</f>
        <v/>
      </c>
      <c r="R81" s="38">
        <f>IF($A81="","",IF($P81="","",IFERROR(INDEX('Opportunities'!$D$6:$D$205,MATCH($P81,'Opportunities'!$A$6:$A$205,0)),"")))</f>
        <v/>
      </c>
      <c r="S81" s="38">
        <f>IF($A81="","",IF($P81="","",IFERROR(INDEX('Opportunities'!$E$6:$E$205,MATCH($P81,'Opportunities'!$A$6:$A$205,0)),"")))</f>
        <v/>
      </c>
      <c r="T81" s="38">
        <f>IF($A81="","",IF($P81="","",IFERROR(INDEX('Opportunities'!$F$6:$F$205,MATCH($P81,'Opportunities'!$A$6:$A$205,0)),"")))</f>
        <v/>
      </c>
      <c r="U81" s="70">
        <f>IF($A81="","",IF($P81="","",IFERROR(INDEX('Opportunities'!$G$6:$G$205,MATCH($P81,'Opportunities'!$A$6:$A$205,0)),"")))</f>
        <v/>
      </c>
      <c r="V81" s="40">
        <f>IF($A81="","",IF($P81="","",IFERROR(INDEX('Opportunities'!$H$6:$H$205,MATCH($P81,'Opportunities'!$A$6:$A$205,0)),"")))</f>
        <v/>
      </c>
      <c r="W81" s="38">
        <f>IF($A81="","",IF($P81="","",IFERROR(INDEX('Opportunities'!$I$6:$I$205,MATCH($P81,'Opportunities'!$A$6:$A$205,0)),"")))</f>
        <v/>
      </c>
      <c r="X81" s="38">
        <f>IF($A81="","",IF($P81="","",IFERROR(INDEX('Opportunities'!$J$6:$J$205,MATCH($P81,'Opportunities'!$A$6:$A$205,0)),"")))</f>
        <v/>
      </c>
      <c r="Y81" s="70">
        <f>IF($A81="","",IF($P81="","",IFERROR(INDEX('Opportunities'!$K$6:$K$205,MATCH($P81,'Opportunities'!$A$6:$A$205,0)),"")))</f>
        <v/>
      </c>
      <c r="Z81" s="41">
        <f>IF($A81="","",IF($P81="","",IFERROR(INDEX('Opportunities'!$O$6:$O$205,MATCH($P81,'Opportunities'!$A$6:$A$205,0)),"")))</f>
        <v/>
      </c>
      <c r="AA81" s="41">
        <f>IF($A81="","",IF($P81="","",IFERROR(INDEX('Opportunities'!$P$6:$P$205,MATCH($P81,'Opportunities'!$A$6:$A$205,0)),"")))</f>
        <v/>
      </c>
      <c r="AB81" s="41">
        <f>IF($A81="","",IF($P81="","",IFERROR(INDEX('Opportunities'!$Q$6:$Q$205,MATCH($P81,'Opportunities'!$A$6:$A$205,0)),"")))</f>
        <v/>
      </c>
      <c r="AC81" s="71">
        <f>IF($A81="","",IF($P81="","",IFERROR(INDEX('Opportunities'!$Z$6:$Z$205,MATCH($P81,'Opportunities'!$A$6:$A$205,0)),"")))</f>
        <v/>
      </c>
      <c r="AD81" s="71">
        <f>IF($A81="","",IF($P81="","",IFERROR(INDEX('Opportunities'!$AJ$6:$AJ$205,MATCH($P81,'Opportunities'!$A$6:$A$205,0)),"")))</f>
        <v/>
      </c>
      <c r="AE81" s="72">
        <f>IF($A81="","",IF($P81="","",IFERROR(INDEX('Opportunities'!$AA$6:$AA$205,MATCH($P81,'Opportunities'!$A$6:$A$205,0)),"")))</f>
        <v/>
      </c>
      <c r="AF81" s="73">
        <f>IF($A81="","",IF($P81="","",IFERROR(INDEX('Opportunities'!$AF$6:$AF$205,MATCH($P81,'Opportunities'!$A$6:$A$205,0)),"")))</f>
        <v/>
      </c>
      <c r="AG81" s="41">
        <f>IF($A81="","",IF($P81="","",IFERROR(INDEX('Opportunities'!$AB$6:$AB$205,MATCH($P81,'Opportunities'!$A$6:$A$205,0)),"")))</f>
        <v/>
      </c>
      <c r="AH81" s="74">
        <f>IF($A81="","",IF($P81="","",IFERROR(($U81+$V81-$J81-$K81)*24,0)))</f>
        <v/>
      </c>
      <c r="AI81" s="38">
        <f>IF($A81="","",IF($P81="","No load selected",IF($AH81&lt;IFERROR($Z81/'Settings'!$B$11,0)+'Settings'!$B$12,"Too tight",IF($AH81&gt;'Settings'!$B$13,"Long wait","Feasible"))))</f>
        <v/>
      </c>
      <c r="AJ81" s="41">
        <f>IF($A81="","",IF($P81="","",$N81-$Z81-$AB81))</f>
        <v/>
      </c>
      <c r="AK81" s="38">
        <f>IF($A81="","",IF(COUNTIF($A$6:$A$205,$A81)&gt;1,"Duplicate Trip ID",IF($P81="","Open",IF(COUNTIF('Opportunities'!$A$6:$A$205,$P81)=0,"Load ID not found",IF(COUNTIFS('Opportunities'!$A$6:$A$205,$P81,'Opportunities'!$B$6:$B$205,$A81)=0,"Trip mismatch",IF(COUNTIF($P$6:$P$205,$P81)&gt;1,"Duplicate selection",IF(AND(OR($O81="Booked",$O81="Completed"),AND($Q81&lt;&gt;"Booked",$Q81&lt;&gt;"Completed")),"Status mismatch","OK")))))))</f>
        <v/>
      </c>
      <c r="AL81" s="46" t="n"/>
    </row>
    <row r="82">
      <c r="A82" s="34" t="n"/>
      <c r="B82" s="34" t="n"/>
      <c r="C82" s="34" t="n"/>
      <c r="D82" s="34" t="n"/>
      <c r="E82" s="34" t="n"/>
      <c r="F82" s="34" t="n"/>
      <c r="G82" s="34" t="n"/>
      <c r="H82" s="69" t="n"/>
      <c r="I82" s="36" t="n"/>
      <c r="J82" s="69" t="n"/>
      <c r="K82" s="36" t="n"/>
      <c r="L82" s="34" t="n"/>
      <c r="M82" s="34" t="n"/>
      <c r="N82" s="37" t="n"/>
      <c r="O82" s="34" t="n"/>
      <c r="P82" s="34" t="n"/>
      <c r="Q82" s="38">
        <f>IF($A82="","",IF($P82="","",IFERROR(INDEX('Opportunities'!$C$6:$C$205,MATCH($P82,'Opportunities'!$A$6:$A$205,0)),"")))</f>
        <v/>
      </c>
      <c r="R82" s="38">
        <f>IF($A82="","",IF($P82="","",IFERROR(INDEX('Opportunities'!$D$6:$D$205,MATCH($P82,'Opportunities'!$A$6:$A$205,0)),"")))</f>
        <v/>
      </c>
      <c r="S82" s="38">
        <f>IF($A82="","",IF($P82="","",IFERROR(INDEX('Opportunities'!$E$6:$E$205,MATCH($P82,'Opportunities'!$A$6:$A$205,0)),"")))</f>
        <v/>
      </c>
      <c r="T82" s="38">
        <f>IF($A82="","",IF($P82="","",IFERROR(INDEX('Opportunities'!$F$6:$F$205,MATCH($P82,'Opportunities'!$A$6:$A$205,0)),"")))</f>
        <v/>
      </c>
      <c r="U82" s="70">
        <f>IF($A82="","",IF($P82="","",IFERROR(INDEX('Opportunities'!$G$6:$G$205,MATCH($P82,'Opportunities'!$A$6:$A$205,0)),"")))</f>
        <v/>
      </c>
      <c r="V82" s="40">
        <f>IF($A82="","",IF($P82="","",IFERROR(INDEX('Opportunities'!$H$6:$H$205,MATCH($P82,'Opportunities'!$A$6:$A$205,0)),"")))</f>
        <v/>
      </c>
      <c r="W82" s="38">
        <f>IF($A82="","",IF($P82="","",IFERROR(INDEX('Opportunities'!$I$6:$I$205,MATCH($P82,'Opportunities'!$A$6:$A$205,0)),"")))</f>
        <v/>
      </c>
      <c r="X82" s="38">
        <f>IF($A82="","",IF($P82="","",IFERROR(INDEX('Opportunities'!$J$6:$J$205,MATCH($P82,'Opportunities'!$A$6:$A$205,0)),"")))</f>
        <v/>
      </c>
      <c r="Y82" s="70">
        <f>IF($A82="","",IF($P82="","",IFERROR(INDEX('Opportunities'!$K$6:$K$205,MATCH($P82,'Opportunities'!$A$6:$A$205,0)),"")))</f>
        <v/>
      </c>
      <c r="Z82" s="41">
        <f>IF($A82="","",IF($P82="","",IFERROR(INDEX('Opportunities'!$O$6:$O$205,MATCH($P82,'Opportunities'!$A$6:$A$205,0)),"")))</f>
        <v/>
      </c>
      <c r="AA82" s="41">
        <f>IF($A82="","",IF($P82="","",IFERROR(INDEX('Opportunities'!$P$6:$P$205,MATCH($P82,'Opportunities'!$A$6:$A$205,0)),"")))</f>
        <v/>
      </c>
      <c r="AB82" s="41">
        <f>IF($A82="","",IF($P82="","",IFERROR(INDEX('Opportunities'!$Q$6:$Q$205,MATCH($P82,'Opportunities'!$A$6:$A$205,0)),"")))</f>
        <v/>
      </c>
      <c r="AC82" s="71">
        <f>IF($A82="","",IF($P82="","",IFERROR(INDEX('Opportunities'!$Z$6:$Z$205,MATCH($P82,'Opportunities'!$A$6:$A$205,0)),"")))</f>
        <v/>
      </c>
      <c r="AD82" s="71">
        <f>IF($A82="","",IF($P82="","",IFERROR(INDEX('Opportunities'!$AJ$6:$AJ$205,MATCH($P82,'Opportunities'!$A$6:$A$205,0)),"")))</f>
        <v/>
      </c>
      <c r="AE82" s="72">
        <f>IF($A82="","",IF($P82="","",IFERROR(INDEX('Opportunities'!$AA$6:$AA$205,MATCH($P82,'Opportunities'!$A$6:$A$205,0)),"")))</f>
        <v/>
      </c>
      <c r="AF82" s="73">
        <f>IF($A82="","",IF($P82="","",IFERROR(INDEX('Opportunities'!$AF$6:$AF$205,MATCH($P82,'Opportunities'!$A$6:$A$205,0)),"")))</f>
        <v/>
      </c>
      <c r="AG82" s="41">
        <f>IF($A82="","",IF($P82="","",IFERROR(INDEX('Opportunities'!$AB$6:$AB$205,MATCH($P82,'Opportunities'!$A$6:$A$205,0)),"")))</f>
        <v/>
      </c>
      <c r="AH82" s="74">
        <f>IF($A82="","",IF($P82="","",IFERROR(($U82+$V82-$J82-$K82)*24,0)))</f>
        <v/>
      </c>
      <c r="AI82" s="38">
        <f>IF($A82="","",IF($P82="","No load selected",IF($AH82&lt;IFERROR($Z82/'Settings'!$B$11,0)+'Settings'!$B$12,"Too tight",IF($AH82&gt;'Settings'!$B$13,"Long wait","Feasible"))))</f>
        <v/>
      </c>
      <c r="AJ82" s="41">
        <f>IF($A82="","",IF($P82="","",$N82-$Z82-$AB82))</f>
        <v/>
      </c>
      <c r="AK82" s="38">
        <f>IF($A82="","",IF(COUNTIF($A$6:$A$205,$A82)&gt;1,"Duplicate Trip ID",IF($P82="","Open",IF(COUNTIF('Opportunities'!$A$6:$A$205,$P82)=0,"Load ID not found",IF(COUNTIFS('Opportunities'!$A$6:$A$205,$P82,'Opportunities'!$B$6:$B$205,$A82)=0,"Trip mismatch",IF(COUNTIF($P$6:$P$205,$P82)&gt;1,"Duplicate selection",IF(AND(OR($O82="Booked",$O82="Completed"),AND($Q82&lt;&gt;"Booked",$Q82&lt;&gt;"Completed")),"Status mismatch","OK")))))))</f>
        <v/>
      </c>
      <c r="AL82" s="46" t="n"/>
    </row>
    <row r="83">
      <c r="A83" s="34" t="n"/>
      <c r="B83" s="34" t="n"/>
      <c r="C83" s="34" t="n"/>
      <c r="D83" s="34" t="n"/>
      <c r="E83" s="34" t="n"/>
      <c r="F83" s="34" t="n"/>
      <c r="G83" s="34" t="n"/>
      <c r="H83" s="69" t="n"/>
      <c r="I83" s="36" t="n"/>
      <c r="J83" s="69" t="n"/>
      <c r="K83" s="36" t="n"/>
      <c r="L83" s="34" t="n"/>
      <c r="M83" s="34" t="n"/>
      <c r="N83" s="37" t="n"/>
      <c r="O83" s="34" t="n"/>
      <c r="P83" s="34" t="n"/>
      <c r="Q83" s="38">
        <f>IF($A83="","",IF($P83="","",IFERROR(INDEX('Opportunities'!$C$6:$C$205,MATCH($P83,'Opportunities'!$A$6:$A$205,0)),"")))</f>
        <v/>
      </c>
      <c r="R83" s="38">
        <f>IF($A83="","",IF($P83="","",IFERROR(INDEX('Opportunities'!$D$6:$D$205,MATCH($P83,'Opportunities'!$A$6:$A$205,0)),"")))</f>
        <v/>
      </c>
      <c r="S83" s="38">
        <f>IF($A83="","",IF($P83="","",IFERROR(INDEX('Opportunities'!$E$6:$E$205,MATCH($P83,'Opportunities'!$A$6:$A$205,0)),"")))</f>
        <v/>
      </c>
      <c r="T83" s="38">
        <f>IF($A83="","",IF($P83="","",IFERROR(INDEX('Opportunities'!$F$6:$F$205,MATCH($P83,'Opportunities'!$A$6:$A$205,0)),"")))</f>
        <v/>
      </c>
      <c r="U83" s="70">
        <f>IF($A83="","",IF($P83="","",IFERROR(INDEX('Opportunities'!$G$6:$G$205,MATCH($P83,'Opportunities'!$A$6:$A$205,0)),"")))</f>
        <v/>
      </c>
      <c r="V83" s="40">
        <f>IF($A83="","",IF($P83="","",IFERROR(INDEX('Opportunities'!$H$6:$H$205,MATCH($P83,'Opportunities'!$A$6:$A$205,0)),"")))</f>
        <v/>
      </c>
      <c r="W83" s="38">
        <f>IF($A83="","",IF($P83="","",IFERROR(INDEX('Opportunities'!$I$6:$I$205,MATCH($P83,'Opportunities'!$A$6:$A$205,0)),"")))</f>
        <v/>
      </c>
      <c r="X83" s="38">
        <f>IF($A83="","",IF($P83="","",IFERROR(INDEX('Opportunities'!$J$6:$J$205,MATCH($P83,'Opportunities'!$A$6:$A$205,0)),"")))</f>
        <v/>
      </c>
      <c r="Y83" s="70">
        <f>IF($A83="","",IF($P83="","",IFERROR(INDEX('Opportunities'!$K$6:$K$205,MATCH($P83,'Opportunities'!$A$6:$A$205,0)),"")))</f>
        <v/>
      </c>
      <c r="Z83" s="41">
        <f>IF($A83="","",IF($P83="","",IFERROR(INDEX('Opportunities'!$O$6:$O$205,MATCH($P83,'Opportunities'!$A$6:$A$205,0)),"")))</f>
        <v/>
      </c>
      <c r="AA83" s="41">
        <f>IF($A83="","",IF($P83="","",IFERROR(INDEX('Opportunities'!$P$6:$P$205,MATCH($P83,'Opportunities'!$A$6:$A$205,0)),"")))</f>
        <v/>
      </c>
      <c r="AB83" s="41">
        <f>IF($A83="","",IF($P83="","",IFERROR(INDEX('Opportunities'!$Q$6:$Q$205,MATCH($P83,'Opportunities'!$A$6:$A$205,0)),"")))</f>
        <v/>
      </c>
      <c r="AC83" s="71">
        <f>IF($A83="","",IF($P83="","",IFERROR(INDEX('Opportunities'!$Z$6:$Z$205,MATCH($P83,'Opportunities'!$A$6:$A$205,0)),"")))</f>
        <v/>
      </c>
      <c r="AD83" s="71">
        <f>IF($A83="","",IF($P83="","",IFERROR(INDEX('Opportunities'!$AJ$6:$AJ$205,MATCH($P83,'Opportunities'!$A$6:$A$205,0)),"")))</f>
        <v/>
      </c>
      <c r="AE83" s="72">
        <f>IF($A83="","",IF($P83="","",IFERROR(INDEX('Opportunities'!$AA$6:$AA$205,MATCH($P83,'Opportunities'!$A$6:$A$205,0)),"")))</f>
        <v/>
      </c>
      <c r="AF83" s="73">
        <f>IF($A83="","",IF($P83="","",IFERROR(INDEX('Opportunities'!$AF$6:$AF$205,MATCH($P83,'Opportunities'!$A$6:$A$205,0)),"")))</f>
        <v/>
      </c>
      <c r="AG83" s="41">
        <f>IF($A83="","",IF($P83="","",IFERROR(INDEX('Opportunities'!$AB$6:$AB$205,MATCH($P83,'Opportunities'!$A$6:$A$205,0)),"")))</f>
        <v/>
      </c>
      <c r="AH83" s="74">
        <f>IF($A83="","",IF($P83="","",IFERROR(($U83+$V83-$J83-$K83)*24,0)))</f>
        <v/>
      </c>
      <c r="AI83" s="38">
        <f>IF($A83="","",IF($P83="","No load selected",IF($AH83&lt;IFERROR($Z83/'Settings'!$B$11,0)+'Settings'!$B$12,"Too tight",IF($AH83&gt;'Settings'!$B$13,"Long wait","Feasible"))))</f>
        <v/>
      </c>
      <c r="AJ83" s="41">
        <f>IF($A83="","",IF($P83="","",$N83-$Z83-$AB83))</f>
        <v/>
      </c>
      <c r="AK83" s="38">
        <f>IF($A83="","",IF(COUNTIF($A$6:$A$205,$A83)&gt;1,"Duplicate Trip ID",IF($P83="","Open",IF(COUNTIF('Opportunities'!$A$6:$A$205,$P83)=0,"Load ID not found",IF(COUNTIFS('Opportunities'!$A$6:$A$205,$P83,'Opportunities'!$B$6:$B$205,$A83)=0,"Trip mismatch",IF(COUNTIF($P$6:$P$205,$P83)&gt;1,"Duplicate selection",IF(AND(OR($O83="Booked",$O83="Completed"),AND($Q83&lt;&gt;"Booked",$Q83&lt;&gt;"Completed")),"Status mismatch","OK")))))))</f>
        <v/>
      </c>
      <c r="AL83" s="46" t="n"/>
    </row>
    <row r="84">
      <c r="A84" s="34" t="n"/>
      <c r="B84" s="34" t="n"/>
      <c r="C84" s="34" t="n"/>
      <c r="D84" s="34" t="n"/>
      <c r="E84" s="34" t="n"/>
      <c r="F84" s="34" t="n"/>
      <c r="G84" s="34" t="n"/>
      <c r="H84" s="69" t="n"/>
      <c r="I84" s="36" t="n"/>
      <c r="J84" s="69" t="n"/>
      <c r="K84" s="36" t="n"/>
      <c r="L84" s="34" t="n"/>
      <c r="M84" s="34" t="n"/>
      <c r="N84" s="37" t="n"/>
      <c r="O84" s="34" t="n"/>
      <c r="P84" s="34" t="n"/>
      <c r="Q84" s="38">
        <f>IF($A84="","",IF($P84="","",IFERROR(INDEX('Opportunities'!$C$6:$C$205,MATCH($P84,'Opportunities'!$A$6:$A$205,0)),"")))</f>
        <v/>
      </c>
      <c r="R84" s="38">
        <f>IF($A84="","",IF($P84="","",IFERROR(INDEX('Opportunities'!$D$6:$D$205,MATCH($P84,'Opportunities'!$A$6:$A$205,0)),"")))</f>
        <v/>
      </c>
      <c r="S84" s="38">
        <f>IF($A84="","",IF($P84="","",IFERROR(INDEX('Opportunities'!$E$6:$E$205,MATCH($P84,'Opportunities'!$A$6:$A$205,0)),"")))</f>
        <v/>
      </c>
      <c r="T84" s="38">
        <f>IF($A84="","",IF($P84="","",IFERROR(INDEX('Opportunities'!$F$6:$F$205,MATCH($P84,'Opportunities'!$A$6:$A$205,0)),"")))</f>
        <v/>
      </c>
      <c r="U84" s="70">
        <f>IF($A84="","",IF($P84="","",IFERROR(INDEX('Opportunities'!$G$6:$G$205,MATCH($P84,'Opportunities'!$A$6:$A$205,0)),"")))</f>
        <v/>
      </c>
      <c r="V84" s="40">
        <f>IF($A84="","",IF($P84="","",IFERROR(INDEX('Opportunities'!$H$6:$H$205,MATCH($P84,'Opportunities'!$A$6:$A$205,0)),"")))</f>
        <v/>
      </c>
      <c r="W84" s="38">
        <f>IF($A84="","",IF($P84="","",IFERROR(INDEX('Opportunities'!$I$6:$I$205,MATCH($P84,'Opportunities'!$A$6:$A$205,0)),"")))</f>
        <v/>
      </c>
      <c r="X84" s="38">
        <f>IF($A84="","",IF($P84="","",IFERROR(INDEX('Opportunities'!$J$6:$J$205,MATCH($P84,'Opportunities'!$A$6:$A$205,0)),"")))</f>
        <v/>
      </c>
      <c r="Y84" s="70">
        <f>IF($A84="","",IF($P84="","",IFERROR(INDEX('Opportunities'!$K$6:$K$205,MATCH($P84,'Opportunities'!$A$6:$A$205,0)),"")))</f>
        <v/>
      </c>
      <c r="Z84" s="41">
        <f>IF($A84="","",IF($P84="","",IFERROR(INDEX('Opportunities'!$O$6:$O$205,MATCH($P84,'Opportunities'!$A$6:$A$205,0)),"")))</f>
        <v/>
      </c>
      <c r="AA84" s="41">
        <f>IF($A84="","",IF($P84="","",IFERROR(INDEX('Opportunities'!$P$6:$P$205,MATCH($P84,'Opportunities'!$A$6:$A$205,0)),"")))</f>
        <v/>
      </c>
      <c r="AB84" s="41">
        <f>IF($A84="","",IF($P84="","",IFERROR(INDEX('Opportunities'!$Q$6:$Q$205,MATCH($P84,'Opportunities'!$A$6:$A$205,0)),"")))</f>
        <v/>
      </c>
      <c r="AC84" s="71">
        <f>IF($A84="","",IF($P84="","",IFERROR(INDEX('Opportunities'!$Z$6:$Z$205,MATCH($P84,'Opportunities'!$A$6:$A$205,0)),"")))</f>
        <v/>
      </c>
      <c r="AD84" s="71">
        <f>IF($A84="","",IF($P84="","",IFERROR(INDEX('Opportunities'!$AJ$6:$AJ$205,MATCH($P84,'Opportunities'!$A$6:$A$205,0)),"")))</f>
        <v/>
      </c>
      <c r="AE84" s="72">
        <f>IF($A84="","",IF($P84="","",IFERROR(INDEX('Opportunities'!$AA$6:$AA$205,MATCH($P84,'Opportunities'!$A$6:$A$205,0)),"")))</f>
        <v/>
      </c>
      <c r="AF84" s="73">
        <f>IF($A84="","",IF($P84="","",IFERROR(INDEX('Opportunities'!$AF$6:$AF$205,MATCH($P84,'Opportunities'!$A$6:$A$205,0)),"")))</f>
        <v/>
      </c>
      <c r="AG84" s="41">
        <f>IF($A84="","",IF($P84="","",IFERROR(INDEX('Opportunities'!$AB$6:$AB$205,MATCH($P84,'Opportunities'!$A$6:$A$205,0)),"")))</f>
        <v/>
      </c>
      <c r="AH84" s="74">
        <f>IF($A84="","",IF($P84="","",IFERROR(($U84+$V84-$J84-$K84)*24,0)))</f>
        <v/>
      </c>
      <c r="AI84" s="38">
        <f>IF($A84="","",IF($P84="","No load selected",IF($AH84&lt;IFERROR($Z84/'Settings'!$B$11,0)+'Settings'!$B$12,"Too tight",IF($AH84&gt;'Settings'!$B$13,"Long wait","Feasible"))))</f>
        <v/>
      </c>
      <c r="AJ84" s="41">
        <f>IF($A84="","",IF($P84="","",$N84-$Z84-$AB84))</f>
        <v/>
      </c>
      <c r="AK84" s="38">
        <f>IF($A84="","",IF(COUNTIF($A$6:$A$205,$A84)&gt;1,"Duplicate Trip ID",IF($P84="","Open",IF(COUNTIF('Opportunities'!$A$6:$A$205,$P84)=0,"Load ID not found",IF(COUNTIFS('Opportunities'!$A$6:$A$205,$P84,'Opportunities'!$B$6:$B$205,$A84)=0,"Trip mismatch",IF(COUNTIF($P$6:$P$205,$P84)&gt;1,"Duplicate selection",IF(AND(OR($O84="Booked",$O84="Completed"),AND($Q84&lt;&gt;"Booked",$Q84&lt;&gt;"Completed")),"Status mismatch","OK")))))))</f>
        <v/>
      </c>
      <c r="AL84" s="46" t="n"/>
    </row>
    <row r="85">
      <c r="A85" s="34" t="n"/>
      <c r="B85" s="34" t="n"/>
      <c r="C85" s="34" t="n"/>
      <c r="D85" s="34" t="n"/>
      <c r="E85" s="34" t="n"/>
      <c r="F85" s="34" t="n"/>
      <c r="G85" s="34" t="n"/>
      <c r="H85" s="69" t="n"/>
      <c r="I85" s="36" t="n"/>
      <c r="J85" s="69" t="n"/>
      <c r="K85" s="36" t="n"/>
      <c r="L85" s="34" t="n"/>
      <c r="M85" s="34" t="n"/>
      <c r="N85" s="37" t="n"/>
      <c r="O85" s="34" t="n"/>
      <c r="P85" s="34" t="n"/>
      <c r="Q85" s="38">
        <f>IF($A85="","",IF($P85="","",IFERROR(INDEX('Opportunities'!$C$6:$C$205,MATCH($P85,'Opportunities'!$A$6:$A$205,0)),"")))</f>
        <v/>
      </c>
      <c r="R85" s="38">
        <f>IF($A85="","",IF($P85="","",IFERROR(INDEX('Opportunities'!$D$6:$D$205,MATCH($P85,'Opportunities'!$A$6:$A$205,0)),"")))</f>
        <v/>
      </c>
      <c r="S85" s="38">
        <f>IF($A85="","",IF($P85="","",IFERROR(INDEX('Opportunities'!$E$6:$E$205,MATCH($P85,'Opportunities'!$A$6:$A$205,0)),"")))</f>
        <v/>
      </c>
      <c r="T85" s="38">
        <f>IF($A85="","",IF($P85="","",IFERROR(INDEX('Opportunities'!$F$6:$F$205,MATCH($P85,'Opportunities'!$A$6:$A$205,0)),"")))</f>
        <v/>
      </c>
      <c r="U85" s="70">
        <f>IF($A85="","",IF($P85="","",IFERROR(INDEX('Opportunities'!$G$6:$G$205,MATCH($P85,'Opportunities'!$A$6:$A$205,0)),"")))</f>
        <v/>
      </c>
      <c r="V85" s="40">
        <f>IF($A85="","",IF($P85="","",IFERROR(INDEX('Opportunities'!$H$6:$H$205,MATCH($P85,'Opportunities'!$A$6:$A$205,0)),"")))</f>
        <v/>
      </c>
      <c r="W85" s="38">
        <f>IF($A85="","",IF($P85="","",IFERROR(INDEX('Opportunities'!$I$6:$I$205,MATCH($P85,'Opportunities'!$A$6:$A$205,0)),"")))</f>
        <v/>
      </c>
      <c r="X85" s="38">
        <f>IF($A85="","",IF($P85="","",IFERROR(INDEX('Opportunities'!$J$6:$J$205,MATCH($P85,'Opportunities'!$A$6:$A$205,0)),"")))</f>
        <v/>
      </c>
      <c r="Y85" s="70">
        <f>IF($A85="","",IF($P85="","",IFERROR(INDEX('Opportunities'!$K$6:$K$205,MATCH($P85,'Opportunities'!$A$6:$A$205,0)),"")))</f>
        <v/>
      </c>
      <c r="Z85" s="41">
        <f>IF($A85="","",IF($P85="","",IFERROR(INDEX('Opportunities'!$O$6:$O$205,MATCH($P85,'Opportunities'!$A$6:$A$205,0)),"")))</f>
        <v/>
      </c>
      <c r="AA85" s="41">
        <f>IF($A85="","",IF($P85="","",IFERROR(INDEX('Opportunities'!$P$6:$P$205,MATCH($P85,'Opportunities'!$A$6:$A$205,0)),"")))</f>
        <v/>
      </c>
      <c r="AB85" s="41">
        <f>IF($A85="","",IF($P85="","",IFERROR(INDEX('Opportunities'!$Q$6:$Q$205,MATCH($P85,'Opportunities'!$A$6:$A$205,0)),"")))</f>
        <v/>
      </c>
      <c r="AC85" s="71">
        <f>IF($A85="","",IF($P85="","",IFERROR(INDEX('Opportunities'!$Z$6:$Z$205,MATCH($P85,'Opportunities'!$A$6:$A$205,0)),"")))</f>
        <v/>
      </c>
      <c r="AD85" s="71">
        <f>IF($A85="","",IF($P85="","",IFERROR(INDEX('Opportunities'!$AJ$6:$AJ$205,MATCH($P85,'Opportunities'!$A$6:$A$205,0)),"")))</f>
        <v/>
      </c>
      <c r="AE85" s="72">
        <f>IF($A85="","",IF($P85="","",IFERROR(INDEX('Opportunities'!$AA$6:$AA$205,MATCH($P85,'Opportunities'!$A$6:$A$205,0)),"")))</f>
        <v/>
      </c>
      <c r="AF85" s="73">
        <f>IF($A85="","",IF($P85="","",IFERROR(INDEX('Opportunities'!$AF$6:$AF$205,MATCH($P85,'Opportunities'!$A$6:$A$205,0)),"")))</f>
        <v/>
      </c>
      <c r="AG85" s="41">
        <f>IF($A85="","",IF($P85="","",IFERROR(INDEX('Opportunities'!$AB$6:$AB$205,MATCH($P85,'Opportunities'!$A$6:$A$205,0)),"")))</f>
        <v/>
      </c>
      <c r="AH85" s="74">
        <f>IF($A85="","",IF($P85="","",IFERROR(($U85+$V85-$J85-$K85)*24,0)))</f>
        <v/>
      </c>
      <c r="AI85" s="38">
        <f>IF($A85="","",IF($P85="","No load selected",IF($AH85&lt;IFERROR($Z85/'Settings'!$B$11,0)+'Settings'!$B$12,"Too tight",IF($AH85&gt;'Settings'!$B$13,"Long wait","Feasible"))))</f>
        <v/>
      </c>
      <c r="AJ85" s="41">
        <f>IF($A85="","",IF($P85="","",$N85-$Z85-$AB85))</f>
        <v/>
      </c>
      <c r="AK85" s="38">
        <f>IF($A85="","",IF(COUNTIF($A$6:$A$205,$A85)&gt;1,"Duplicate Trip ID",IF($P85="","Open",IF(COUNTIF('Opportunities'!$A$6:$A$205,$P85)=0,"Load ID not found",IF(COUNTIFS('Opportunities'!$A$6:$A$205,$P85,'Opportunities'!$B$6:$B$205,$A85)=0,"Trip mismatch",IF(COUNTIF($P$6:$P$205,$P85)&gt;1,"Duplicate selection",IF(AND(OR($O85="Booked",$O85="Completed"),AND($Q85&lt;&gt;"Booked",$Q85&lt;&gt;"Completed")),"Status mismatch","OK")))))))</f>
        <v/>
      </c>
      <c r="AL85" s="46" t="n"/>
    </row>
    <row r="86">
      <c r="A86" s="34" t="n"/>
      <c r="B86" s="34" t="n"/>
      <c r="C86" s="34" t="n"/>
      <c r="D86" s="34" t="n"/>
      <c r="E86" s="34" t="n"/>
      <c r="F86" s="34" t="n"/>
      <c r="G86" s="34" t="n"/>
      <c r="H86" s="69" t="n"/>
      <c r="I86" s="36" t="n"/>
      <c r="J86" s="69" t="n"/>
      <c r="K86" s="36" t="n"/>
      <c r="L86" s="34" t="n"/>
      <c r="M86" s="34" t="n"/>
      <c r="N86" s="37" t="n"/>
      <c r="O86" s="34" t="n"/>
      <c r="P86" s="34" t="n"/>
      <c r="Q86" s="38">
        <f>IF($A86="","",IF($P86="","",IFERROR(INDEX('Opportunities'!$C$6:$C$205,MATCH($P86,'Opportunities'!$A$6:$A$205,0)),"")))</f>
        <v/>
      </c>
      <c r="R86" s="38">
        <f>IF($A86="","",IF($P86="","",IFERROR(INDEX('Opportunities'!$D$6:$D$205,MATCH($P86,'Opportunities'!$A$6:$A$205,0)),"")))</f>
        <v/>
      </c>
      <c r="S86" s="38">
        <f>IF($A86="","",IF($P86="","",IFERROR(INDEX('Opportunities'!$E$6:$E$205,MATCH($P86,'Opportunities'!$A$6:$A$205,0)),"")))</f>
        <v/>
      </c>
      <c r="T86" s="38">
        <f>IF($A86="","",IF($P86="","",IFERROR(INDEX('Opportunities'!$F$6:$F$205,MATCH($P86,'Opportunities'!$A$6:$A$205,0)),"")))</f>
        <v/>
      </c>
      <c r="U86" s="70">
        <f>IF($A86="","",IF($P86="","",IFERROR(INDEX('Opportunities'!$G$6:$G$205,MATCH($P86,'Opportunities'!$A$6:$A$205,0)),"")))</f>
        <v/>
      </c>
      <c r="V86" s="40">
        <f>IF($A86="","",IF($P86="","",IFERROR(INDEX('Opportunities'!$H$6:$H$205,MATCH($P86,'Opportunities'!$A$6:$A$205,0)),"")))</f>
        <v/>
      </c>
      <c r="W86" s="38">
        <f>IF($A86="","",IF($P86="","",IFERROR(INDEX('Opportunities'!$I$6:$I$205,MATCH($P86,'Opportunities'!$A$6:$A$205,0)),"")))</f>
        <v/>
      </c>
      <c r="X86" s="38">
        <f>IF($A86="","",IF($P86="","",IFERROR(INDEX('Opportunities'!$J$6:$J$205,MATCH($P86,'Opportunities'!$A$6:$A$205,0)),"")))</f>
        <v/>
      </c>
      <c r="Y86" s="70">
        <f>IF($A86="","",IF($P86="","",IFERROR(INDEX('Opportunities'!$K$6:$K$205,MATCH($P86,'Opportunities'!$A$6:$A$205,0)),"")))</f>
        <v/>
      </c>
      <c r="Z86" s="41">
        <f>IF($A86="","",IF($P86="","",IFERROR(INDEX('Opportunities'!$O$6:$O$205,MATCH($P86,'Opportunities'!$A$6:$A$205,0)),"")))</f>
        <v/>
      </c>
      <c r="AA86" s="41">
        <f>IF($A86="","",IF($P86="","",IFERROR(INDEX('Opportunities'!$P$6:$P$205,MATCH($P86,'Opportunities'!$A$6:$A$205,0)),"")))</f>
        <v/>
      </c>
      <c r="AB86" s="41">
        <f>IF($A86="","",IF($P86="","",IFERROR(INDEX('Opportunities'!$Q$6:$Q$205,MATCH($P86,'Opportunities'!$A$6:$A$205,0)),"")))</f>
        <v/>
      </c>
      <c r="AC86" s="71">
        <f>IF($A86="","",IF($P86="","",IFERROR(INDEX('Opportunities'!$Z$6:$Z$205,MATCH($P86,'Opportunities'!$A$6:$A$205,0)),"")))</f>
        <v/>
      </c>
      <c r="AD86" s="71">
        <f>IF($A86="","",IF($P86="","",IFERROR(INDEX('Opportunities'!$AJ$6:$AJ$205,MATCH($P86,'Opportunities'!$A$6:$A$205,0)),"")))</f>
        <v/>
      </c>
      <c r="AE86" s="72">
        <f>IF($A86="","",IF($P86="","",IFERROR(INDEX('Opportunities'!$AA$6:$AA$205,MATCH($P86,'Opportunities'!$A$6:$A$205,0)),"")))</f>
        <v/>
      </c>
      <c r="AF86" s="73">
        <f>IF($A86="","",IF($P86="","",IFERROR(INDEX('Opportunities'!$AF$6:$AF$205,MATCH($P86,'Opportunities'!$A$6:$A$205,0)),"")))</f>
        <v/>
      </c>
      <c r="AG86" s="41">
        <f>IF($A86="","",IF($P86="","",IFERROR(INDEX('Opportunities'!$AB$6:$AB$205,MATCH($P86,'Opportunities'!$A$6:$A$205,0)),"")))</f>
        <v/>
      </c>
      <c r="AH86" s="74">
        <f>IF($A86="","",IF($P86="","",IFERROR(($U86+$V86-$J86-$K86)*24,0)))</f>
        <v/>
      </c>
      <c r="AI86" s="38">
        <f>IF($A86="","",IF($P86="","No load selected",IF($AH86&lt;IFERROR($Z86/'Settings'!$B$11,0)+'Settings'!$B$12,"Too tight",IF($AH86&gt;'Settings'!$B$13,"Long wait","Feasible"))))</f>
        <v/>
      </c>
      <c r="AJ86" s="41">
        <f>IF($A86="","",IF($P86="","",$N86-$Z86-$AB86))</f>
        <v/>
      </c>
      <c r="AK86" s="38">
        <f>IF($A86="","",IF(COUNTIF($A$6:$A$205,$A86)&gt;1,"Duplicate Trip ID",IF($P86="","Open",IF(COUNTIF('Opportunities'!$A$6:$A$205,$P86)=0,"Load ID not found",IF(COUNTIFS('Opportunities'!$A$6:$A$205,$P86,'Opportunities'!$B$6:$B$205,$A86)=0,"Trip mismatch",IF(COUNTIF($P$6:$P$205,$P86)&gt;1,"Duplicate selection",IF(AND(OR($O86="Booked",$O86="Completed"),AND($Q86&lt;&gt;"Booked",$Q86&lt;&gt;"Completed")),"Status mismatch","OK")))))))</f>
        <v/>
      </c>
      <c r="AL86" s="46" t="n"/>
    </row>
    <row r="87">
      <c r="A87" s="34" t="n"/>
      <c r="B87" s="34" t="n"/>
      <c r="C87" s="34" t="n"/>
      <c r="D87" s="34" t="n"/>
      <c r="E87" s="34" t="n"/>
      <c r="F87" s="34" t="n"/>
      <c r="G87" s="34" t="n"/>
      <c r="H87" s="69" t="n"/>
      <c r="I87" s="36" t="n"/>
      <c r="J87" s="69" t="n"/>
      <c r="K87" s="36" t="n"/>
      <c r="L87" s="34" t="n"/>
      <c r="M87" s="34" t="n"/>
      <c r="N87" s="37" t="n"/>
      <c r="O87" s="34" t="n"/>
      <c r="P87" s="34" t="n"/>
      <c r="Q87" s="38">
        <f>IF($A87="","",IF($P87="","",IFERROR(INDEX('Opportunities'!$C$6:$C$205,MATCH($P87,'Opportunities'!$A$6:$A$205,0)),"")))</f>
        <v/>
      </c>
      <c r="R87" s="38">
        <f>IF($A87="","",IF($P87="","",IFERROR(INDEX('Opportunities'!$D$6:$D$205,MATCH($P87,'Opportunities'!$A$6:$A$205,0)),"")))</f>
        <v/>
      </c>
      <c r="S87" s="38">
        <f>IF($A87="","",IF($P87="","",IFERROR(INDEX('Opportunities'!$E$6:$E$205,MATCH($P87,'Opportunities'!$A$6:$A$205,0)),"")))</f>
        <v/>
      </c>
      <c r="T87" s="38">
        <f>IF($A87="","",IF($P87="","",IFERROR(INDEX('Opportunities'!$F$6:$F$205,MATCH($P87,'Opportunities'!$A$6:$A$205,0)),"")))</f>
        <v/>
      </c>
      <c r="U87" s="70">
        <f>IF($A87="","",IF($P87="","",IFERROR(INDEX('Opportunities'!$G$6:$G$205,MATCH($P87,'Opportunities'!$A$6:$A$205,0)),"")))</f>
        <v/>
      </c>
      <c r="V87" s="40">
        <f>IF($A87="","",IF($P87="","",IFERROR(INDEX('Opportunities'!$H$6:$H$205,MATCH($P87,'Opportunities'!$A$6:$A$205,0)),"")))</f>
        <v/>
      </c>
      <c r="W87" s="38">
        <f>IF($A87="","",IF($P87="","",IFERROR(INDEX('Opportunities'!$I$6:$I$205,MATCH($P87,'Opportunities'!$A$6:$A$205,0)),"")))</f>
        <v/>
      </c>
      <c r="X87" s="38">
        <f>IF($A87="","",IF($P87="","",IFERROR(INDEX('Opportunities'!$J$6:$J$205,MATCH($P87,'Opportunities'!$A$6:$A$205,0)),"")))</f>
        <v/>
      </c>
      <c r="Y87" s="70">
        <f>IF($A87="","",IF($P87="","",IFERROR(INDEX('Opportunities'!$K$6:$K$205,MATCH($P87,'Opportunities'!$A$6:$A$205,0)),"")))</f>
        <v/>
      </c>
      <c r="Z87" s="41">
        <f>IF($A87="","",IF($P87="","",IFERROR(INDEX('Opportunities'!$O$6:$O$205,MATCH($P87,'Opportunities'!$A$6:$A$205,0)),"")))</f>
        <v/>
      </c>
      <c r="AA87" s="41">
        <f>IF($A87="","",IF($P87="","",IFERROR(INDEX('Opportunities'!$P$6:$P$205,MATCH($P87,'Opportunities'!$A$6:$A$205,0)),"")))</f>
        <v/>
      </c>
      <c r="AB87" s="41">
        <f>IF($A87="","",IF($P87="","",IFERROR(INDEX('Opportunities'!$Q$6:$Q$205,MATCH($P87,'Opportunities'!$A$6:$A$205,0)),"")))</f>
        <v/>
      </c>
      <c r="AC87" s="71">
        <f>IF($A87="","",IF($P87="","",IFERROR(INDEX('Opportunities'!$Z$6:$Z$205,MATCH($P87,'Opportunities'!$A$6:$A$205,0)),"")))</f>
        <v/>
      </c>
      <c r="AD87" s="71">
        <f>IF($A87="","",IF($P87="","",IFERROR(INDEX('Opportunities'!$AJ$6:$AJ$205,MATCH($P87,'Opportunities'!$A$6:$A$205,0)),"")))</f>
        <v/>
      </c>
      <c r="AE87" s="72">
        <f>IF($A87="","",IF($P87="","",IFERROR(INDEX('Opportunities'!$AA$6:$AA$205,MATCH($P87,'Opportunities'!$A$6:$A$205,0)),"")))</f>
        <v/>
      </c>
      <c r="AF87" s="73">
        <f>IF($A87="","",IF($P87="","",IFERROR(INDEX('Opportunities'!$AF$6:$AF$205,MATCH($P87,'Opportunities'!$A$6:$A$205,0)),"")))</f>
        <v/>
      </c>
      <c r="AG87" s="41">
        <f>IF($A87="","",IF($P87="","",IFERROR(INDEX('Opportunities'!$AB$6:$AB$205,MATCH($P87,'Opportunities'!$A$6:$A$205,0)),"")))</f>
        <v/>
      </c>
      <c r="AH87" s="74">
        <f>IF($A87="","",IF($P87="","",IFERROR(($U87+$V87-$J87-$K87)*24,0)))</f>
        <v/>
      </c>
      <c r="AI87" s="38">
        <f>IF($A87="","",IF($P87="","No load selected",IF($AH87&lt;IFERROR($Z87/'Settings'!$B$11,0)+'Settings'!$B$12,"Too tight",IF($AH87&gt;'Settings'!$B$13,"Long wait","Feasible"))))</f>
        <v/>
      </c>
      <c r="AJ87" s="41">
        <f>IF($A87="","",IF($P87="","",$N87-$Z87-$AB87))</f>
        <v/>
      </c>
      <c r="AK87" s="38">
        <f>IF($A87="","",IF(COUNTIF($A$6:$A$205,$A87)&gt;1,"Duplicate Trip ID",IF($P87="","Open",IF(COUNTIF('Opportunities'!$A$6:$A$205,$P87)=0,"Load ID not found",IF(COUNTIFS('Opportunities'!$A$6:$A$205,$P87,'Opportunities'!$B$6:$B$205,$A87)=0,"Trip mismatch",IF(COUNTIF($P$6:$P$205,$P87)&gt;1,"Duplicate selection",IF(AND(OR($O87="Booked",$O87="Completed"),AND($Q87&lt;&gt;"Booked",$Q87&lt;&gt;"Completed")),"Status mismatch","OK")))))))</f>
        <v/>
      </c>
      <c r="AL87" s="46" t="n"/>
    </row>
    <row r="88">
      <c r="A88" s="34" t="n"/>
      <c r="B88" s="34" t="n"/>
      <c r="C88" s="34" t="n"/>
      <c r="D88" s="34" t="n"/>
      <c r="E88" s="34" t="n"/>
      <c r="F88" s="34" t="n"/>
      <c r="G88" s="34" t="n"/>
      <c r="H88" s="69" t="n"/>
      <c r="I88" s="36" t="n"/>
      <c r="J88" s="69" t="n"/>
      <c r="K88" s="36" t="n"/>
      <c r="L88" s="34" t="n"/>
      <c r="M88" s="34" t="n"/>
      <c r="N88" s="37" t="n"/>
      <c r="O88" s="34" t="n"/>
      <c r="P88" s="34" t="n"/>
      <c r="Q88" s="38">
        <f>IF($A88="","",IF($P88="","",IFERROR(INDEX('Opportunities'!$C$6:$C$205,MATCH($P88,'Opportunities'!$A$6:$A$205,0)),"")))</f>
        <v/>
      </c>
      <c r="R88" s="38">
        <f>IF($A88="","",IF($P88="","",IFERROR(INDEX('Opportunities'!$D$6:$D$205,MATCH($P88,'Opportunities'!$A$6:$A$205,0)),"")))</f>
        <v/>
      </c>
      <c r="S88" s="38">
        <f>IF($A88="","",IF($P88="","",IFERROR(INDEX('Opportunities'!$E$6:$E$205,MATCH($P88,'Opportunities'!$A$6:$A$205,0)),"")))</f>
        <v/>
      </c>
      <c r="T88" s="38">
        <f>IF($A88="","",IF($P88="","",IFERROR(INDEX('Opportunities'!$F$6:$F$205,MATCH($P88,'Opportunities'!$A$6:$A$205,0)),"")))</f>
        <v/>
      </c>
      <c r="U88" s="70">
        <f>IF($A88="","",IF($P88="","",IFERROR(INDEX('Opportunities'!$G$6:$G$205,MATCH($P88,'Opportunities'!$A$6:$A$205,0)),"")))</f>
        <v/>
      </c>
      <c r="V88" s="40">
        <f>IF($A88="","",IF($P88="","",IFERROR(INDEX('Opportunities'!$H$6:$H$205,MATCH($P88,'Opportunities'!$A$6:$A$205,0)),"")))</f>
        <v/>
      </c>
      <c r="W88" s="38">
        <f>IF($A88="","",IF($P88="","",IFERROR(INDEX('Opportunities'!$I$6:$I$205,MATCH($P88,'Opportunities'!$A$6:$A$205,0)),"")))</f>
        <v/>
      </c>
      <c r="X88" s="38">
        <f>IF($A88="","",IF($P88="","",IFERROR(INDEX('Opportunities'!$J$6:$J$205,MATCH($P88,'Opportunities'!$A$6:$A$205,0)),"")))</f>
        <v/>
      </c>
      <c r="Y88" s="70">
        <f>IF($A88="","",IF($P88="","",IFERROR(INDEX('Opportunities'!$K$6:$K$205,MATCH($P88,'Opportunities'!$A$6:$A$205,0)),"")))</f>
        <v/>
      </c>
      <c r="Z88" s="41">
        <f>IF($A88="","",IF($P88="","",IFERROR(INDEX('Opportunities'!$O$6:$O$205,MATCH($P88,'Opportunities'!$A$6:$A$205,0)),"")))</f>
        <v/>
      </c>
      <c r="AA88" s="41">
        <f>IF($A88="","",IF($P88="","",IFERROR(INDEX('Opportunities'!$P$6:$P$205,MATCH($P88,'Opportunities'!$A$6:$A$205,0)),"")))</f>
        <v/>
      </c>
      <c r="AB88" s="41">
        <f>IF($A88="","",IF($P88="","",IFERROR(INDEX('Opportunities'!$Q$6:$Q$205,MATCH($P88,'Opportunities'!$A$6:$A$205,0)),"")))</f>
        <v/>
      </c>
      <c r="AC88" s="71">
        <f>IF($A88="","",IF($P88="","",IFERROR(INDEX('Opportunities'!$Z$6:$Z$205,MATCH($P88,'Opportunities'!$A$6:$A$205,0)),"")))</f>
        <v/>
      </c>
      <c r="AD88" s="71">
        <f>IF($A88="","",IF($P88="","",IFERROR(INDEX('Opportunities'!$AJ$6:$AJ$205,MATCH($P88,'Opportunities'!$A$6:$A$205,0)),"")))</f>
        <v/>
      </c>
      <c r="AE88" s="72">
        <f>IF($A88="","",IF($P88="","",IFERROR(INDEX('Opportunities'!$AA$6:$AA$205,MATCH($P88,'Opportunities'!$A$6:$A$205,0)),"")))</f>
        <v/>
      </c>
      <c r="AF88" s="73">
        <f>IF($A88="","",IF($P88="","",IFERROR(INDEX('Opportunities'!$AF$6:$AF$205,MATCH($P88,'Opportunities'!$A$6:$A$205,0)),"")))</f>
        <v/>
      </c>
      <c r="AG88" s="41">
        <f>IF($A88="","",IF($P88="","",IFERROR(INDEX('Opportunities'!$AB$6:$AB$205,MATCH($P88,'Opportunities'!$A$6:$A$205,0)),"")))</f>
        <v/>
      </c>
      <c r="AH88" s="74">
        <f>IF($A88="","",IF($P88="","",IFERROR(($U88+$V88-$J88-$K88)*24,0)))</f>
        <v/>
      </c>
      <c r="AI88" s="38">
        <f>IF($A88="","",IF($P88="","No load selected",IF($AH88&lt;IFERROR($Z88/'Settings'!$B$11,0)+'Settings'!$B$12,"Too tight",IF($AH88&gt;'Settings'!$B$13,"Long wait","Feasible"))))</f>
        <v/>
      </c>
      <c r="AJ88" s="41">
        <f>IF($A88="","",IF($P88="","",$N88-$Z88-$AB88))</f>
        <v/>
      </c>
      <c r="AK88" s="38">
        <f>IF($A88="","",IF(COUNTIF($A$6:$A$205,$A88)&gt;1,"Duplicate Trip ID",IF($P88="","Open",IF(COUNTIF('Opportunities'!$A$6:$A$205,$P88)=0,"Load ID not found",IF(COUNTIFS('Opportunities'!$A$6:$A$205,$P88,'Opportunities'!$B$6:$B$205,$A88)=0,"Trip mismatch",IF(COUNTIF($P$6:$P$205,$P88)&gt;1,"Duplicate selection",IF(AND(OR($O88="Booked",$O88="Completed"),AND($Q88&lt;&gt;"Booked",$Q88&lt;&gt;"Completed")),"Status mismatch","OK")))))))</f>
        <v/>
      </c>
      <c r="AL88" s="46" t="n"/>
    </row>
    <row r="89">
      <c r="A89" s="34" t="n"/>
      <c r="B89" s="34" t="n"/>
      <c r="C89" s="34" t="n"/>
      <c r="D89" s="34" t="n"/>
      <c r="E89" s="34" t="n"/>
      <c r="F89" s="34" t="n"/>
      <c r="G89" s="34" t="n"/>
      <c r="H89" s="69" t="n"/>
      <c r="I89" s="36" t="n"/>
      <c r="J89" s="69" t="n"/>
      <c r="K89" s="36" t="n"/>
      <c r="L89" s="34" t="n"/>
      <c r="M89" s="34" t="n"/>
      <c r="N89" s="37" t="n"/>
      <c r="O89" s="34" t="n"/>
      <c r="P89" s="34" t="n"/>
      <c r="Q89" s="38">
        <f>IF($A89="","",IF($P89="","",IFERROR(INDEX('Opportunities'!$C$6:$C$205,MATCH($P89,'Opportunities'!$A$6:$A$205,0)),"")))</f>
        <v/>
      </c>
      <c r="R89" s="38">
        <f>IF($A89="","",IF($P89="","",IFERROR(INDEX('Opportunities'!$D$6:$D$205,MATCH($P89,'Opportunities'!$A$6:$A$205,0)),"")))</f>
        <v/>
      </c>
      <c r="S89" s="38">
        <f>IF($A89="","",IF($P89="","",IFERROR(INDEX('Opportunities'!$E$6:$E$205,MATCH($P89,'Opportunities'!$A$6:$A$205,0)),"")))</f>
        <v/>
      </c>
      <c r="T89" s="38">
        <f>IF($A89="","",IF($P89="","",IFERROR(INDEX('Opportunities'!$F$6:$F$205,MATCH($P89,'Opportunities'!$A$6:$A$205,0)),"")))</f>
        <v/>
      </c>
      <c r="U89" s="70">
        <f>IF($A89="","",IF($P89="","",IFERROR(INDEX('Opportunities'!$G$6:$G$205,MATCH($P89,'Opportunities'!$A$6:$A$205,0)),"")))</f>
        <v/>
      </c>
      <c r="V89" s="40">
        <f>IF($A89="","",IF($P89="","",IFERROR(INDEX('Opportunities'!$H$6:$H$205,MATCH($P89,'Opportunities'!$A$6:$A$205,0)),"")))</f>
        <v/>
      </c>
      <c r="W89" s="38">
        <f>IF($A89="","",IF($P89="","",IFERROR(INDEX('Opportunities'!$I$6:$I$205,MATCH($P89,'Opportunities'!$A$6:$A$205,0)),"")))</f>
        <v/>
      </c>
      <c r="X89" s="38">
        <f>IF($A89="","",IF($P89="","",IFERROR(INDEX('Opportunities'!$J$6:$J$205,MATCH($P89,'Opportunities'!$A$6:$A$205,0)),"")))</f>
        <v/>
      </c>
      <c r="Y89" s="70">
        <f>IF($A89="","",IF($P89="","",IFERROR(INDEX('Opportunities'!$K$6:$K$205,MATCH($P89,'Opportunities'!$A$6:$A$205,0)),"")))</f>
        <v/>
      </c>
      <c r="Z89" s="41">
        <f>IF($A89="","",IF($P89="","",IFERROR(INDEX('Opportunities'!$O$6:$O$205,MATCH($P89,'Opportunities'!$A$6:$A$205,0)),"")))</f>
        <v/>
      </c>
      <c r="AA89" s="41">
        <f>IF($A89="","",IF($P89="","",IFERROR(INDEX('Opportunities'!$P$6:$P$205,MATCH($P89,'Opportunities'!$A$6:$A$205,0)),"")))</f>
        <v/>
      </c>
      <c r="AB89" s="41">
        <f>IF($A89="","",IF($P89="","",IFERROR(INDEX('Opportunities'!$Q$6:$Q$205,MATCH($P89,'Opportunities'!$A$6:$A$205,0)),"")))</f>
        <v/>
      </c>
      <c r="AC89" s="71">
        <f>IF($A89="","",IF($P89="","",IFERROR(INDEX('Opportunities'!$Z$6:$Z$205,MATCH($P89,'Opportunities'!$A$6:$A$205,0)),"")))</f>
        <v/>
      </c>
      <c r="AD89" s="71">
        <f>IF($A89="","",IF($P89="","",IFERROR(INDEX('Opportunities'!$AJ$6:$AJ$205,MATCH($P89,'Opportunities'!$A$6:$A$205,0)),"")))</f>
        <v/>
      </c>
      <c r="AE89" s="72">
        <f>IF($A89="","",IF($P89="","",IFERROR(INDEX('Opportunities'!$AA$6:$AA$205,MATCH($P89,'Opportunities'!$A$6:$A$205,0)),"")))</f>
        <v/>
      </c>
      <c r="AF89" s="73">
        <f>IF($A89="","",IF($P89="","",IFERROR(INDEX('Opportunities'!$AF$6:$AF$205,MATCH($P89,'Opportunities'!$A$6:$A$205,0)),"")))</f>
        <v/>
      </c>
      <c r="AG89" s="41">
        <f>IF($A89="","",IF($P89="","",IFERROR(INDEX('Opportunities'!$AB$6:$AB$205,MATCH($P89,'Opportunities'!$A$6:$A$205,0)),"")))</f>
        <v/>
      </c>
      <c r="AH89" s="74">
        <f>IF($A89="","",IF($P89="","",IFERROR(($U89+$V89-$J89-$K89)*24,0)))</f>
        <v/>
      </c>
      <c r="AI89" s="38">
        <f>IF($A89="","",IF($P89="","No load selected",IF($AH89&lt;IFERROR($Z89/'Settings'!$B$11,0)+'Settings'!$B$12,"Too tight",IF($AH89&gt;'Settings'!$B$13,"Long wait","Feasible"))))</f>
        <v/>
      </c>
      <c r="AJ89" s="41">
        <f>IF($A89="","",IF($P89="","",$N89-$Z89-$AB89))</f>
        <v/>
      </c>
      <c r="AK89" s="38">
        <f>IF($A89="","",IF(COUNTIF($A$6:$A$205,$A89)&gt;1,"Duplicate Trip ID",IF($P89="","Open",IF(COUNTIF('Opportunities'!$A$6:$A$205,$P89)=0,"Load ID not found",IF(COUNTIFS('Opportunities'!$A$6:$A$205,$P89,'Opportunities'!$B$6:$B$205,$A89)=0,"Trip mismatch",IF(COUNTIF($P$6:$P$205,$P89)&gt;1,"Duplicate selection",IF(AND(OR($O89="Booked",$O89="Completed"),AND($Q89&lt;&gt;"Booked",$Q89&lt;&gt;"Completed")),"Status mismatch","OK")))))))</f>
        <v/>
      </c>
      <c r="AL89" s="46" t="n"/>
    </row>
    <row r="90">
      <c r="A90" s="34" t="n"/>
      <c r="B90" s="34" t="n"/>
      <c r="C90" s="34" t="n"/>
      <c r="D90" s="34" t="n"/>
      <c r="E90" s="34" t="n"/>
      <c r="F90" s="34" t="n"/>
      <c r="G90" s="34" t="n"/>
      <c r="H90" s="69" t="n"/>
      <c r="I90" s="36" t="n"/>
      <c r="J90" s="69" t="n"/>
      <c r="K90" s="36" t="n"/>
      <c r="L90" s="34" t="n"/>
      <c r="M90" s="34" t="n"/>
      <c r="N90" s="37" t="n"/>
      <c r="O90" s="34" t="n"/>
      <c r="P90" s="34" t="n"/>
      <c r="Q90" s="38">
        <f>IF($A90="","",IF($P90="","",IFERROR(INDEX('Opportunities'!$C$6:$C$205,MATCH($P90,'Opportunities'!$A$6:$A$205,0)),"")))</f>
        <v/>
      </c>
      <c r="R90" s="38">
        <f>IF($A90="","",IF($P90="","",IFERROR(INDEX('Opportunities'!$D$6:$D$205,MATCH($P90,'Opportunities'!$A$6:$A$205,0)),"")))</f>
        <v/>
      </c>
      <c r="S90" s="38">
        <f>IF($A90="","",IF($P90="","",IFERROR(INDEX('Opportunities'!$E$6:$E$205,MATCH($P90,'Opportunities'!$A$6:$A$205,0)),"")))</f>
        <v/>
      </c>
      <c r="T90" s="38">
        <f>IF($A90="","",IF($P90="","",IFERROR(INDEX('Opportunities'!$F$6:$F$205,MATCH($P90,'Opportunities'!$A$6:$A$205,0)),"")))</f>
        <v/>
      </c>
      <c r="U90" s="70">
        <f>IF($A90="","",IF($P90="","",IFERROR(INDEX('Opportunities'!$G$6:$G$205,MATCH($P90,'Opportunities'!$A$6:$A$205,0)),"")))</f>
        <v/>
      </c>
      <c r="V90" s="40">
        <f>IF($A90="","",IF($P90="","",IFERROR(INDEX('Opportunities'!$H$6:$H$205,MATCH($P90,'Opportunities'!$A$6:$A$205,0)),"")))</f>
        <v/>
      </c>
      <c r="W90" s="38">
        <f>IF($A90="","",IF($P90="","",IFERROR(INDEX('Opportunities'!$I$6:$I$205,MATCH($P90,'Opportunities'!$A$6:$A$205,0)),"")))</f>
        <v/>
      </c>
      <c r="X90" s="38">
        <f>IF($A90="","",IF($P90="","",IFERROR(INDEX('Opportunities'!$J$6:$J$205,MATCH($P90,'Opportunities'!$A$6:$A$205,0)),"")))</f>
        <v/>
      </c>
      <c r="Y90" s="70">
        <f>IF($A90="","",IF($P90="","",IFERROR(INDEX('Opportunities'!$K$6:$K$205,MATCH($P90,'Opportunities'!$A$6:$A$205,0)),"")))</f>
        <v/>
      </c>
      <c r="Z90" s="41">
        <f>IF($A90="","",IF($P90="","",IFERROR(INDEX('Opportunities'!$O$6:$O$205,MATCH($P90,'Opportunities'!$A$6:$A$205,0)),"")))</f>
        <v/>
      </c>
      <c r="AA90" s="41">
        <f>IF($A90="","",IF($P90="","",IFERROR(INDEX('Opportunities'!$P$6:$P$205,MATCH($P90,'Opportunities'!$A$6:$A$205,0)),"")))</f>
        <v/>
      </c>
      <c r="AB90" s="41">
        <f>IF($A90="","",IF($P90="","",IFERROR(INDEX('Opportunities'!$Q$6:$Q$205,MATCH($P90,'Opportunities'!$A$6:$A$205,0)),"")))</f>
        <v/>
      </c>
      <c r="AC90" s="71">
        <f>IF($A90="","",IF($P90="","",IFERROR(INDEX('Opportunities'!$Z$6:$Z$205,MATCH($P90,'Opportunities'!$A$6:$A$205,0)),"")))</f>
        <v/>
      </c>
      <c r="AD90" s="71">
        <f>IF($A90="","",IF($P90="","",IFERROR(INDEX('Opportunities'!$AJ$6:$AJ$205,MATCH($P90,'Opportunities'!$A$6:$A$205,0)),"")))</f>
        <v/>
      </c>
      <c r="AE90" s="72">
        <f>IF($A90="","",IF($P90="","",IFERROR(INDEX('Opportunities'!$AA$6:$AA$205,MATCH($P90,'Opportunities'!$A$6:$A$205,0)),"")))</f>
        <v/>
      </c>
      <c r="AF90" s="73">
        <f>IF($A90="","",IF($P90="","",IFERROR(INDEX('Opportunities'!$AF$6:$AF$205,MATCH($P90,'Opportunities'!$A$6:$A$205,0)),"")))</f>
        <v/>
      </c>
      <c r="AG90" s="41">
        <f>IF($A90="","",IF($P90="","",IFERROR(INDEX('Opportunities'!$AB$6:$AB$205,MATCH($P90,'Opportunities'!$A$6:$A$205,0)),"")))</f>
        <v/>
      </c>
      <c r="AH90" s="74">
        <f>IF($A90="","",IF($P90="","",IFERROR(($U90+$V90-$J90-$K90)*24,0)))</f>
        <v/>
      </c>
      <c r="AI90" s="38">
        <f>IF($A90="","",IF($P90="","No load selected",IF($AH90&lt;IFERROR($Z90/'Settings'!$B$11,0)+'Settings'!$B$12,"Too tight",IF($AH90&gt;'Settings'!$B$13,"Long wait","Feasible"))))</f>
        <v/>
      </c>
      <c r="AJ90" s="41">
        <f>IF($A90="","",IF($P90="","",$N90-$Z90-$AB90))</f>
        <v/>
      </c>
      <c r="AK90" s="38">
        <f>IF($A90="","",IF(COUNTIF($A$6:$A$205,$A90)&gt;1,"Duplicate Trip ID",IF($P90="","Open",IF(COUNTIF('Opportunities'!$A$6:$A$205,$P90)=0,"Load ID not found",IF(COUNTIFS('Opportunities'!$A$6:$A$205,$P90,'Opportunities'!$B$6:$B$205,$A90)=0,"Trip mismatch",IF(COUNTIF($P$6:$P$205,$P90)&gt;1,"Duplicate selection",IF(AND(OR($O90="Booked",$O90="Completed"),AND($Q90&lt;&gt;"Booked",$Q90&lt;&gt;"Completed")),"Status mismatch","OK")))))))</f>
        <v/>
      </c>
      <c r="AL90" s="46" t="n"/>
    </row>
    <row r="91">
      <c r="A91" s="34" t="n"/>
      <c r="B91" s="34" t="n"/>
      <c r="C91" s="34" t="n"/>
      <c r="D91" s="34" t="n"/>
      <c r="E91" s="34" t="n"/>
      <c r="F91" s="34" t="n"/>
      <c r="G91" s="34" t="n"/>
      <c r="H91" s="69" t="n"/>
      <c r="I91" s="36" t="n"/>
      <c r="J91" s="69" t="n"/>
      <c r="K91" s="36" t="n"/>
      <c r="L91" s="34" t="n"/>
      <c r="M91" s="34" t="n"/>
      <c r="N91" s="37" t="n"/>
      <c r="O91" s="34" t="n"/>
      <c r="P91" s="34" t="n"/>
      <c r="Q91" s="38">
        <f>IF($A91="","",IF($P91="","",IFERROR(INDEX('Opportunities'!$C$6:$C$205,MATCH($P91,'Opportunities'!$A$6:$A$205,0)),"")))</f>
        <v/>
      </c>
      <c r="R91" s="38">
        <f>IF($A91="","",IF($P91="","",IFERROR(INDEX('Opportunities'!$D$6:$D$205,MATCH($P91,'Opportunities'!$A$6:$A$205,0)),"")))</f>
        <v/>
      </c>
      <c r="S91" s="38">
        <f>IF($A91="","",IF($P91="","",IFERROR(INDEX('Opportunities'!$E$6:$E$205,MATCH($P91,'Opportunities'!$A$6:$A$205,0)),"")))</f>
        <v/>
      </c>
      <c r="T91" s="38">
        <f>IF($A91="","",IF($P91="","",IFERROR(INDEX('Opportunities'!$F$6:$F$205,MATCH($P91,'Opportunities'!$A$6:$A$205,0)),"")))</f>
        <v/>
      </c>
      <c r="U91" s="70">
        <f>IF($A91="","",IF($P91="","",IFERROR(INDEX('Opportunities'!$G$6:$G$205,MATCH($P91,'Opportunities'!$A$6:$A$205,0)),"")))</f>
        <v/>
      </c>
      <c r="V91" s="40">
        <f>IF($A91="","",IF($P91="","",IFERROR(INDEX('Opportunities'!$H$6:$H$205,MATCH($P91,'Opportunities'!$A$6:$A$205,0)),"")))</f>
        <v/>
      </c>
      <c r="W91" s="38">
        <f>IF($A91="","",IF($P91="","",IFERROR(INDEX('Opportunities'!$I$6:$I$205,MATCH($P91,'Opportunities'!$A$6:$A$205,0)),"")))</f>
        <v/>
      </c>
      <c r="X91" s="38">
        <f>IF($A91="","",IF($P91="","",IFERROR(INDEX('Opportunities'!$J$6:$J$205,MATCH($P91,'Opportunities'!$A$6:$A$205,0)),"")))</f>
        <v/>
      </c>
      <c r="Y91" s="70">
        <f>IF($A91="","",IF($P91="","",IFERROR(INDEX('Opportunities'!$K$6:$K$205,MATCH($P91,'Opportunities'!$A$6:$A$205,0)),"")))</f>
        <v/>
      </c>
      <c r="Z91" s="41">
        <f>IF($A91="","",IF($P91="","",IFERROR(INDEX('Opportunities'!$O$6:$O$205,MATCH($P91,'Opportunities'!$A$6:$A$205,0)),"")))</f>
        <v/>
      </c>
      <c r="AA91" s="41">
        <f>IF($A91="","",IF($P91="","",IFERROR(INDEX('Opportunities'!$P$6:$P$205,MATCH($P91,'Opportunities'!$A$6:$A$205,0)),"")))</f>
        <v/>
      </c>
      <c r="AB91" s="41">
        <f>IF($A91="","",IF($P91="","",IFERROR(INDEX('Opportunities'!$Q$6:$Q$205,MATCH($P91,'Opportunities'!$A$6:$A$205,0)),"")))</f>
        <v/>
      </c>
      <c r="AC91" s="71">
        <f>IF($A91="","",IF($P91="","",IFERROR(INDEX('Opportunities'!$Z$6:$Z$205,MATCH($P91,'Opportunities'!$A$6:$A$205,0)),"")))</f>
        <v/>
      </c>
      <c r="AD91" s="71">
        <f>IF($A91="","",IF($P91="","",IFERROR(INDEX('Opportunities'!$AJ$6:$AJ$205,MATCH($P91,'Opportunities'!$A$6:$A$205,0)),"")))</f>
        <v/>
      </c>
      <c r="AE91" s="72">
        <f>IF($A91="","",IF($P91="","",IFERROR(INDEX('Opportunities'!$AA$6:$AA$205,MATCH($P91,'Opportunities'!$A$6:$A$205,0)),"")))</f>
        <v/>
      </c>
      <c r="AF91" s="73">
        <f>IF($A91="","",IF($P91="","",IFERROR(INDEX('Opportunities'!$AF$6:$AF$205,MATCH($P91,'Opportunities'!$A$6:$A$205,0)),"")))</f>
        <v/>
      </c>
      <c r="AG91" s="41">
        <f>IF($A91="","",IF($P91="","",IFERROR(INDEX('Opportunities'!$AB$6:$AB$205,MATCH($P91,'Opportunities'!$A$6:$A$205,0)),"")))</f>
        <v/>
      </c>
      <c r="AH91" s="74">
        <f>IF($A91="","",IF($P91="","",IFERROR(($U91+$V91-$J91-$K91)*24,0)))</f>
        <v/>
      </c>
      <c r="AI91" s="38">
        <f>IF($A91="","",IF($P91="","No load selected",IF($AH91&lt;IFERROR($Z91/'Settings'!$B$11,0)+'Settings'!$B$12,"Too tight",IF($AH91&gt;'Settings'!$B$13,"Long wait","Feasible"))))</f>
        <v/>
      </c>
      <c r="AJ91" s="41">
        <f>IF($A91="","",IF($P91="","",$N91-$Z91-$AB91))</f>
        <v/>
      </c>
      <c r="AK91" s="38">
        <f>IF($A91="","",IF(COUNTIF($A$6:$A$205,$A91)&gt;1,"Duplicate Trip ID",IF($P91="","Open",IF(COUNTIF('Opportunities'!$A$6:$A$205,$P91)=0,"Load ID not found",IF(COUNTIFS('Opportunities'!$A$6:$A$205,$P91,'Opportunities'!$B$6:$B$205,$A91)=0,"Trip mismatch",IF(COUNTIF($P$6:$P$205,$P91)&gt;1,"Duplicate selection",IF(AND(OR($O91="Booked",$O91="Completed"),AND($Q91&lt;&gt;"Booked",$Q91&lt;&gt;"Completed")),"Status mismatch","OK")))))))</f>
        <v/>
      </c>
      <c r="AL91" s="46" t="n"/>
    </row>
    <row r="92">
      <c r="A92" s="34" t="n"/>
      <c r="B92" s="34" t="n"/>
      <c r="C92" s="34" t="n"/>
      <c r="D92" s="34" t="n"/>
      <c r="E92" s="34" t="n"/>
      <c r="F92" s="34" t="n"/>
      <c r="G92" s="34" t="n"/>
      <c r="H92" s="69" t="n"/>
      <c r="I92" s="36" t="n"/>
      <c r="J92" s="69" t="n"/>
      <c r="K92" s="36" t="n"/>
      <c r="L92" s="34" t="n"/>
      <c r="M92" s="34" t="n"/>
      <c r="N92" s="37" t="n"/>
      <c r="O92" s="34" t="n"/>
      <c r="P92" s="34" t="n"/>
      <c r="Q92" s="38">
        <f>IF($A92="","",IF($P92="","",IFERROR(INDEX('Opportunities'!$C$6:$C$205,MATCH($P92,'Opportunities'!$A$6:$A$205,0)),"")))</f>
        <v/>
      </c>
      <c r="R92" s="38">
        <f>IF($A92="","",IF($P92="","",IFERROR(INDEX('Opportunities'!$D$6:$D$205,MATCH($P92,'Opportunities'!$A$6:$A$205,0)),"")))</f>
        <v/>
      </c>
      <c r="S92" s="38">
        <f>IF($A92="","",IF($P92="","",IFERROR(INDEX('Opportunities'!$E$6:$E$205,MATCH($P92,'Opportunities'!$A$6:$A$205,0)),"")))</f>
        <v/>
      </c>
      <c r="T92" s="38">
        <f>IF($A92="","",IF($P92="","",IFERROR(INDEX('Opportunities'!$F$6:$F$205,MATCH($P92,'Opportunities'!$A$6:$A$205,0)),"")))</f>
        <v/>
      </c>
      <c r="U92" s="70">
        <f>IF($A92="","",IF($P92="","",IFERROR(INDEX('Opportunities'!$G$6:$G$205,MATCH($P92,'Opportunities'!$A$6:$A$205,0)),"")))</f>
        <v/>
      </c>
      <c r="V92" s="40">
        <f>IF($A92="","",IF($P92="","",IFERROR(INDEX('Opportunities'!$H$6:$H$205,MATCH($P92,'Opportunities'!$A$6:$A$205,0)),"")))</f>
        <v/>
      </c>
      <c r="W92" s="38">
        <f>IF($A92="","",IF($P92="","",IFERROR(INDEX('Opportunities'!$I$6:$I$205,MATCH($P92,'Opportunities'!$A$6:$A$205,0)),"")))</f>
        <v/>
      </c>
      <c r="X92" s="38">
        <f>IF($A92="","",IF($P92="","",IFERROR(INDEX('Opportunities'!$J$6:$J$205,MATCH($P92,'Opportunities'!$A$6:$A$205,0)),"")))</f>
        <v/>
      </c>
      <c r="Y92" s="70">
        <f>IF($A92="","",IF($P92="","",IFERROR(INDEX('Opportunities'!$K$6:$K$205,MATCH($P92,'Opportunities'!$A$6:$A$205,0)),"")))</f>
        <v/>
      </c>
      <c r="Z92" s="41">
        <f>IF($A92="","",IF($P92="","",IFERROR(INDEX('Opportunities'!$O$6:$O$205,MATCH($P92,'Opportunities'!$A$6:$A$205,0)),"")))</f>
        <v/>
      </c>
      <c r="AA92" s="41">
        <f>IF($A92="","",IF($P92="","",IFERROR(INDEX('Opportunities'!$P$6:$P$205,MATCH($P92,'Opportunities'!$A$6:$A$205,0)),"")))</f>
        <v/>
      </c>
      <c r="AB92" s="41">
        <f>IF($A92="","",IF($P92="","",IFERROR(INDEX('Opportunities'!$Q$6:$Q$205,MATCH($P92,'Opportunities'!$A$6:$A$205,0)),"")))</f>
        <v/>
      </c>
      <c r="AC92" s="71">
        <f>IF($A92="","",IF($P92="","",IFERROR(INDEX('Opportunities'!$Z$6:$Z$205,MATCH($P92,'Opportunities'!$A$6:$A$205,0)),"")))</f>
        <v/>
      </c>
      <c r="AD92" s="71">
        <f>IF($A92="","",IF($P92="","",IFERROR(INDEX('Opportunities'!$AJ$6:$AJ$205,MATCH($P92,'Opportunities'!$A$6:$A$205,0)),"")))</f>
        <v/>
      </c>
      <c r="AE92" s="72">
        <f>IF($A92="","",IF($P92="","",IFERROR(INDEX('Opportunities'!$AA$6:$AA$205,MATCH($P92,'Opportunities'!$A$6:$A$205,0)),"")))</f>
        <v/>
      </c>
      <c r="AF92" s="73">
        <f>IF($A92="","",IF($P92="","",IFERROR(INDEX('Opportunities'!$AF$6:$AF$205,MATCH($P92,'Opportunities'!$A$6:$A$205,0)),"")))</f>
        <v/>
      </c>
      <c r="AG92" s="41">
        <f>IF($A92="","",IF($P92="","",IFERROR(INDEX('Opportunities'!$AB$6:$AB$205,MATCH($P92,'Opportunities'!$A$6:$A$205,0)),"")))</f>
        <v/>
      </c>
      <c r="AH92" s="74">
        <f>IF($A92="","",IF($P92="","",IFERROR(($U92+$V92-$J92-$K92)*24,0)))</f>
        <v/>
      </c>
      <c r="AI92" s="38">
        <f>IF($A92="","",IF($P92="","No load selected",IF($AH92&lt;IFERROR($Z92/'Settings'!$B$11,0)+'Settings'!$B$12,"Too tight",IF($AH92&gt;'Settings'!$B$13,"Long wait","Feasible"))))</f>
        <v/>
      </c>
      <c r="AJ92" s="41">
        <f>IF($A92="","",IF($P92="","",$N92-$Z92-$AB92))</f>
        <v/>
      </c>
      <c r="AK92" s="38">
        <f>IF($A92="","",IF(COUNTIF($A$6:$A$205,$A92)&gt;1,"Duplicate Trip ID",IF($P92="","Open",IF(COUNTIF('Opportunities'!$A$6:$A$205,$P92)=0,"Load ID not found",IF(COUNTIFS('Opportunities'!$A$6:$A$205,$P92,'Opportunities'!$B$6:$B$205,$A92)=0,"Trip mismatch",IF(COUNTIF($P$6:$P$205,$P92)&gt;1,"Duplicate selection",IF(AND(OR($O92="Booked",$O92="Completed"),AND($Q92&lt;&gt;"Booked",$Q92&lt;&gt;"Completed")),"Status mismatch","OK")))))))</f>
        <v/>
      </c>
      <c r="AL92" s="46" t="n"/>
    </row>
    <row r="93">
      <c r="A93" s="34" t="n"/>
      <c r="B93" s="34" t="n"/>
      <c r="C93" s="34" t="n"/>
      <c r="D93" s="34" t="n"/>
      <c r="E93" s="34" t="n"/>
      <c r="F93" s="34" t="n"/>
      <c r="G93" s="34" t="n"/>
      <c r="H93" s="69" t="n"/>
      <c r="I93" s="36" t="n"/>
      <c r="J93" s="69" t="n"/>
      <c r="K93" s="36" t="n"/>
      <c r="L93" s="34" t="n"/>
      <c r="M93" s="34" t="n"/>
      <c r="N93" s="37" t="n"/>
      <c r="O93" s="34" t="n"/>
      <c r="P93" s="34" t="n"/>
      <c r="Q93" s="38">
        <f>IF($A93="","",IF($P93="","",IFERROR(INDEX('Opportunities'!$C$6:$C$205,MATCH($P93,'Opportunities'!$A$6:$A$205,0)),"")))</f>
        <v/>
      </c>
      <c r="R93" s="38">
        <f>IF($A93="","",IF($P93="","",IFERROR(INDEX('Opportunities'!$D$6:$D$205,MATCH($P93,'Opportunities'!$A$6:$A$205,0)),"")))</f>
        <v/>
      </c>
      <c r="S93" s="38">
        <f>IF($A93="","",IF($P93="","",IFERROR(INDEX('Opportunities'!$E$6:$E$205,MATCH($P93,'Opportunities'!$A$6:$A$205,0)),"")))</f>
        <v/>
      </c>
      <c r="T93" s="38">
        <f>IF($A93="","",IF($P93="","",IFERROR(INDEX('Opportunities'!$F$6:$F$205,MATCH($P93,'Opportunities'!$A$6:$A$205,0)),"")))</f>
        <v/>
      </c>
      <c r="U93" s="70">
        <f>IF($A93="","",IF($P93="","",IFERROR(INDEX('Opportunities'!$G$6:$G$205,MATCH($P93,'Opportunities'!$A$6:$A$205,0)),"")))</f>
        <v/>
      </c>
      <c r="V93" s="40">
        <f>IF($A93="","",IF($P93="","",IFERROR(INDEX('Opportunities'!$H$6:$H$205,MATCH($P93,'Opportunities'!$A$6:$A$205,0)),"")))</f>
        <v/>
      </c>
      <c r="W93" s="38">
        <f>IF($A93="","",IF($P93="","",IFERROR(INDEX('Opportunities'!$I$6:$I$205,MATCH($P93,'Opportunities'!$A$6:$A$205,0)),"")))</f>
        <v/>
      </c>
      <c r="X93" s="38">
        <f>IF($A93="","",IF($P93="","",IFERROR(INDEX('Opportunities'!$J$6:$J$205,MATCH($P93,'Opportunities'!$A$6:$A$205,0)),"")))</f>
        <v/>
      </c>
      <c r="Y93" s="70">
        <f>IF($A93="","",IF($P93="","",IFERROR(INDEX('Opportunities'!$K$6:$K$205,MATCH($P93,'Opportunities'!$A$6:$A$205,0)),"")))</f>
        <v/>
      </c>
      <c r="Z93" s="41">
        <f>IF($A93="","",IF($P93="","",IFERROR(INDEX('Opportunities'!$O$6:$O$205,MATCH($P93,'Opportunities'!$A$6:$A$205,0)),"")))</f>
        <v/>
      </c>
      <c r="AA93" s="41">
        <f>IF($A93="","",IF($P93="","",IFERROR(INDEX('Opportunities'!$P$6:$P$205,MATCH($P93,'Opportunities'!$A$6:$A$205,0)),"")))</f>
        <v/>
      </c>
      <c r="AB93" s="41">
        <f>IF($A93="","",IF($P93="","",IFERROR(INDEX('Opportunities'!$Q$6:$Q$205,MATCH($P93,'Opportunities'!$A$6:$A$205,0)),"")))</f>
        <v/>
      </c>
      <c r="AC93" s="71">
        <f>IF($A93="","",IF($P93="","",IFERROR(INDEX('Opportunities'!$Z$6:$Z$205,MATCH($P93,'Opportunities'!$A$6:$A$205,0)),"")))</f>
        <v/>
      </c>
      <c r="AD93" s="71">
        <f>IF($A93="","",IF($P93="","",IFERROR(INDEX('Opportunities'!$AJ$6:$AJ$205,MATCH($P93,'Opportunities'!$A$6:$A$205,0)),"")))</f>
        <v/>
      </c>
      <c r="AE93" s="72">
        <f>IF($A93="","",IF($P93="","",IFERROR(INDEX('Opportunities'!$AA$6:$AA$205,MATCH($P93,'Opportunities'!$A$6:$A$205,0)),"")))</f>
        <v/>
      </c>
      <c r="AF93" s="73">
        <f>IF($A93="","",IF($P93="","",IFERROR(INDEX('Opportunities'!$AF$6:$AF$205,MATCH($P93,'Opportunities'!$A$6:$A$205,0)),"")))</f>
        <v/>
      </c>
      <c r="AG93" s="41">
        <f>IF($A93="","",IF($P93="","",IFERROR(INDEX('Opportunities'!$AB$6:$AB$205,MATCH($P93,'Opportunities'!$A$6:$A$205,0)),"")))</f>
        <v/>
      </c>
      <c r="AH93" s="74">
        <f>IF($A93="","",IF($P93="","",IFERROR(($U93+$V93-$J93-$K93)*24,0)))</f>
        <v/>
      </c>
      <c r="AI93" s="38">
        <f>IF($A93="","",IF($P93="","No load selected",IF($AH93&lt;IFERROR($Z93/'Settings'!$B$11,0)+'Settings'!$B$12,"Too tight",IF($AH93&gt;'Settings'!$B$13,"Long wait","Feasible"))))</f>
        <v/>
      </c>
      <c r="AJ93" s="41">
        <f>IF($A93="","",IF($P93="","",$N93-$Z93-$AB93))</f>
        <v/>
      </c>
      <c r="AK93" s="38">
        <f>IF($A93="","",IF(COUNTIF($A$6:$A$205,$A93)&gt;1,"Duplicate Trip ID",IF($P93="","Open",IF(COUNTIF('Opportunities'!$A$6:$A$205,$P93)=0,"Load ID not found",IF(COUNTIFS('Opportunities'!$A$6:$A$205,$P93,'Opportunities'!$B$6:$B$205,$A93)=0,"Trip mismatch",IF(COUNTIF($P$6:$P$205,$P93)&gt;1,"Duplicate selection",IF(AND(OR($O93="Booked",$O93="Completed"),AND($Q93&lt;&gt;"Booked",$Q93&lt;&gt;"Completed")),"Status mismatch","OK")))))))</f>
        <v/>
      </c>
      <c r="AL93" s="46" t="n"/>
    </row>
    <row r="94">
      <c r="A94" s="34" t="n"/>
      <c r="B94" s="34" t="n"/>
      <c r="C94" s="34" t="n"/>
      <c r="D94" s="34" t="n"/>
      <c r="E94" s="34" t="n"/>
      <c r="F94" s="34" t="n"/>
      <c r="G94" s="34" t="n"/>
      <c r="H94" s="69" t="n"/>
      <c r="I94" s="36" t="n"/>
      <c r="J94" s="69" t="n"/>
      <c r="K94" s="36" t="n"/>
      <c r="L94" s="34" t="n"/>
      <c r="M94" s="34" t="n"/>
      <c r="N94" s="37" t="n"/>
      <c r="O94" s="34" t="n"/>
      <c r="P94" s="34" t="n"/>
      <c r="Q94" s="38">
        <f>IF($A94="","",IF($P94="","",IFERROR(INDEX('Opportunities'!$C$6:$C$205,MATCH($P94,'Opportunities'!$A$6:$A$205,0)),"")))</f>
        <v/>
      </c>
      <c r="R94" s="38">
        <f>IF($A94="","",IF($P94="","",IFERROR(INDEX('Opportunities'!$D$6:$D$205,MATCH($P94,'Opportunities'!$A$6:$A$205,0)),"")))</f>
        <v/>
      </c>
      <c r="S94" s="38">
        <f>IF($A94="","",IF($P94="","",IFERROR(INDEX('Opportunities'!$E$6:$E$205,MATCH($P94,'Opportunities'!$A$6:$A$205,0)),"")))</f>
        <v/>
      </c>
      <c r="T94" s="38">
        <f>IF($A94="","",IF($P94="","",IFERROR(INDEX('Opportunities'!$F$6:$F$205,MATCH($P94,'Opportunities'!$A$6:$A$205,0)),"")))</f>
        <v/>
      </c>
      <c r="U94" s="70">
        <f>IF($A94="","",IF($P94="","",IFERROR(INDEX('Opportunities'!$G$6:$G$205,MATCH($P94,'Opportunities'!$A$6:$A$205,0)),"")))</f>
        <v/>
      </c>
      <c r="V94" s="40">
        <f>IF($A94="","",IF($P94="","",IFERROR(INDEX('Opportunities'!$H$6:$H$205,MATCH($P94,'Opportunities'!$A$6:$A$205,0)),"")))</f>
        <v/>
      </c>
      <c r="W94" s="38">
        <f>IF($A94="","",IF($P94="","",IFERROR(INDEX('Opportunities'!$I$6:$I$205,MATCH($P94,'Opportunities'!$A$6:$A$205,0)),"")))</f>
        <v/>
      </c>
      <c r="X94" s="38">
        <f>IF($A94="","",IF($P94="","",IFERROR(INDEX('Opportunities'!$J$6:$J$205,MATCH($P94,'Opportunities'!$A$6:$A$205,0)),"")))</f>
        <v/>
      </c>
      <c r="Y94" s="70">
        <f>IF($A94="","",IF($P94="","",IFERROR(INDEX('Opportunities'!$K$6:$K$205,MATCH($P94,'Opportunities'!$A$6:$A$205,0)),"")))</f>
        <v/>
      </c>
      <c r="Z94" s="41">
        <f>IF($A94="","",IF($P94="","",IFERROR(INDEX('Opportunities'!$O$6:$O$205,MATCH($P94,'Opportunities'!$A$6:$A$205,0)),"")))</f>
        <v/>
      </c>
      <c r="AA94" s="41">
        <f>IF($A94="","",IF($P94="","",IFERROR(INDEX('Opportunities'!$P$6:$P$205,MATCH($P94,'Opportunities'!$A$6:$A$205,0)),"")))</f>
        <v/>
      </c>
      <c r="AB94" s="41">
        <f>IF($A94="","",IF($P94="","",IFERROR(INDEX('Opportunities'!$Q$6:$Q$205,MATCH($P94,'Opportunities'!$A$6:$A$205,0)),"")))</f>
        <v/>
      </c>
      <c r="AC94" s="71">
        <f>IF($A94="","",IF($P94="","",IFERROR(INDEX('Opportunities'!$Z$6:$Z$205,MATCH($P94,'Opportunities'!$A$6:$A$205,0)),"")))</f>
        <v/>
      </c>
      <c r="AD94" s="71">
        <f>IF($A94="","",IF($P94="","",IFERROR(INDEX('Opportunities'!$AJ$6:$AJ$205,MATCH($P94,'Opportunities'!$A$6:$A$205,0)),"")))</f>
        <v/>
      </c>
      <c r="AE94" s="72">
        <f>IF($A94="","",IF($P94="","",IFERROR(INDEX('Opportunities'!$AA$6:$AA$205,MATCH($P94,'Opportunities'!$A$6:$A$205,0)),"")))</f>
        <v/>
      </c>
      <c r="AF94" s="73">
        <f>IF($A94="","",IF($P94="","",IFERROR(INDEX('Opportunities'!$AF$6:$AF$205,MATCH($P94,'Opportunities'!$A$6:$A$205,0)),"")))</f>
        <v/>
      </c>
      <c r="AG94" s="41">
        <f>IF($A94="","",IF($P94="","",IFERROR(INDEX('Opportunities'!$AB$6:$AB$205,MATCH($P94,'Opportunities'!$A$6:$A$205,0)),"")))</f>
        <v/>
      </c>
      <c r="AH94" s="74">
        <f>IF($A94="","",IF($P94="","",IFERROR(($U94+$V94-$J94-$K94)*24,0)))</f>
        <v/>
      </c>
      <c r="AI94" s="38">
        <f>IF($A94="","",IF($P94="","No load selected",IF($AH94&lt;IFERROR($Z94/'Settings'!$B$11,0)+'Settings'!$B$12,"Too tight",IF($AH94&gt;'Settings'!$B$13,"Long wait","Feasible"))))</f>
        <v/>
      </c>
      <c r="AJ94" s="41">
        <f>IF($A94="","",IF($P94="","",$N94-$Z94-$AB94))</f>
        <v/>
      </c>
      <c r="AK94" s="38">
        <f>IF($A94="","",IF(COUNTIF($A$6:$A$205,$A94)&gt;1,"Duplicate Trip ID",IF($P94="","Open",IF(COUNTIF('Opportunities'!$A$6:$A$205,$P94)=0,"Load ID not found",IF(COUNTIFS('Opportunities'!$A$6:$A$205,$P94,'Opportunities'!$B$6:$B$205,$A94)=0,"Trip mismatch",IF(COUNTIF($P$6:$P$205,$P94)&gt;1,"Duplicate selection",IF(AND(OR($O94="Booked",$O94="Completed"),AND($Q94&lt;&gt;"Booked",$Q94&lt;&gt;"Completed")),"Status mismatch","OK")))))))</f>
        <v/>
      </c>
      <c r="AL94" s="46" t="n"/>
    </row>
    <row r="95">
      <c r="A95" s="34" t="n"/>
      <c r="B95" s="34" t="n"/>
      <c r="C95" s="34" t="n"/>
      <c r="D95" s="34" t="n"/>
      <c r="E95" s="34" t="n"/>
      <c r="F95" s="34" t="n"/>
      <c r="G95" s="34" t="n"/>
      <c r="H95" s="69" t="n"/>
      <c r="I95" s="36" t="n"/>
      <c r="J95" s="69" t="n"/>
      <c r="K95" s="36" t="n"/>
      <c r="L95" s="34" t="n"/>
      <c r="M95" s="34" t="n"/>
      <c r="N95" s="37" t="n"/>
      <c r="O95" s="34" t="n"/>
      <c r="P95" s="34" t="n"/>
      <c r="Q95" s="38">
        <f>IF($A95="","",IF($P95="","",IFERROR(INDEX('Opportunities'!$C$6:$C$205,MATCH($P95,'Opportunities'!$A$6:$A$205,0)),"")))</f>
        <v/>
      </c>
      <c r="R95" s="38">
        <f>IF($A95="","",IF($P95="","",IFERROR(INDEX('Opportunities'!$D$6:$D$205,MATCH($P95,'Opportunities'!$A$6:$A$205,0)),"")))</f>
        <v/>
      </c>
      <c r="S95" s="38">
        <f>IF($A95="","",IF($P95="","",IFERROR(INDEX('Opportunities'!$E$6:$E$205,MATCH($P95,'Opportunities'!$A$6:$A$205,0)),"")))</f>
        <v/>
      </c>
      <c r="T95" s="38">
        <f>IF($A95="","",IF($P95="","",IFERROR(INDEX('Opportunities'!$F$6:$F$205,MATCH($P95,'Opportunities'!$A$6:$A$205,0)),"")))</f>
        <v/>
      </c>
      <c r="U95" s="70">
        <f>IF($A95="","",IF($P95="","",IFERROR(INDEX('Opportunities'!$G$6:$G$205,MATCH($P95,'Opportunities'!$A$6:$A$205,0)),"")))</f>
        <v/>
      </c>
      <c r="V95" s="40">
        <f>IF($A95="","",IF($P95="","",IFERROR(INDEX('Opportunities'!$H$6:$H$205,MATCH($P95,'Opportunities'!$A$6:$A$205,0)),"")))</f>
        <v/>
      </c>
      <c r="W95" s="38">
        <f>IF($A95="","",IF($P95="","",IFERROR(INDEX('Opportunities'!$I$6:$I$205,MATCH($P95,'Opportunities'!$A$6:$A$205,0)),"")))</f>
        <v/>
      </c>
      <c r="X95" s="38">
        <f>IF($A95="","",IF($P95="","",IFERROR(INDEX('Opportunities'!$J$6:$J$205,MATCH($P95,'Opportunities'!$A$6:$A$205,0)),"")))</f>
        <v/>
      </c>
      <c r="Y95" s="70">
        <f>IF($A95="","",IF($P95="","",IFERROR(INDEX('Opportunities'!$K$6:$K$205,MATCH($P95,'Opportunities'!$A$6:$A$205,0)),"")))</f>
        <v/>
      </c>
      <c r="Z95" s="41">
        <f>IF($A95="","",IF($P95="","",IFERROR(INDEX('Opportunities'!$O$6:$O$205,MATCH($P95,'Opportunities'!$A$6:$A$205,0)),"")))</f>
        <v/>
      </c>
      <c r="AA95" s="41">
        <f>IF($A95="","",IF($P95="","",IFERROR(INDEX('Opportunities'!$P$6:$P$205,MATCH($P95,'Opportunities'!$A$6:$A$205,0)),"")))</f>
        <v/>
      </c>
      <c r="AB95" s="41">
        <f>IF($A95="","",IF($P95="","",IFERROR(INDEX('Opportunities'!$Q$6:$Q$205,MATCH($P95,'Opportunities'!$A$6:$A$205,0)),"")))</f>
        <v/>
      </c>
      <c r="AC95" s="71">
        <f>IF($A95="","",IF($P95="","",IFERROR(INDEX('Opportunities'!$Z$6:$Z$205,MATCH($P95,'Opportunities'!$A$6:$A$205,0)),"")))</f>
        <v/>
      </c>
      <c r="AD95" s="71">
        <f>IF($A95="","",IF($P95="","",IFERROR(INDEX('Opportunities'!$AJ$6:$AJ$205,MATCH($P95,'Opportunities'!$A$6:$A$205,0)),"")))</f>
        <v/>
      </c>
      <c r="AE95" s="72">
        <f>IF($A95="","",IF($P95="","",IFERROR(INDEX('Opportunities'!$AA$6:$AA$205,MATCH($P95,'Opportunities'!$A$6:$A$205,0)),"")))</f>
        <v/>
      </c>
      <c r="AF95" s="73">
        <f>IF($A95="","",IF($P95="","",IFERROR(INDEX('Opportunities'!$AF$6:$AF$205,MATCH($P95,'Opportunities'!$A$6:$A$205,0)),"")))</f>
        <v/>
      </c>
      <c r="AG95" s="41">
        <f>IF($A95="","",IF($P95="","",IFERROR(INDEX('Opportunities'!$AB$6:$AB$205,MATCH($P95,'Opportunities'!$A$6:$A$205,0)),"")))</f>
        <v/>
      </c>
      <c r="AH95" s="74">
        <f>IF($A95="","",IF($P95="","",IFERROR(($U95+$V95-$J95-$K95)*24,0)))</f>
        <v/>
      </c>
      <c r="AI95" s="38">
        <f>IF($A95="","",IF($P95="","No load selected",IF($AH95&lt;IFERROR($Z95/'Settings'!$B$11,0)+'Settings'!$B$12,"Too tight",IF($AH95&gt;'Settings'!$B$13,"Long wait","Feasible"))))</f>
        <v/>
      </c>
      <c r="AJ95" s="41">
        <f>IF($A95="","",IF($P95="","",$N95-$Z95-$AB95))</f>
        <v/>
      </c>
      <c r="AK95" s="38">
        <f>IF($A95="","",IF(COUNTIF($A$6:$A$205,$A95)&gt;1,"Duplicate Trip ID",IF($P95="","Open",IF(COUNTIF('Opportunities'!$A$6:$A$205,$P95)=0,"Load ID not found",IF(COUNTIFS('Opportunities'!$A$6:$A$205,$P95,'Opportunities'!$B$6:$B$205,$A95)=0,"Trip mismatch",IF(COUNTIF($P$6:$P$205,$P95)&gt;1,"Duplicate selection",IF(AND(OR($O95="Booked",$O95="Completed"),AND($Q95&lt;&gt;"Booked",$Q95&lt;&gt;"Completed")),"Status mismatch","OK")))))))</f>
        <v/>
      </c>
      <c r="AL95" s="46" t="n"/>
    </row>
    <row r="96">
      <c r="A96" s="34" t="n"/>
      <c r="B96" s="34" t="n"/>
      <c r="C96" s="34" t="n"/>
      <c r="D96" s="34" t="n"/>
      <c r="E96" s="34" t="n"/>
      <c r="F96" s="34" t="n"/>
      <c r="G96" s="34" t="n"/>
      <c r="H96" s="69" t="n"/>
      <c r="I96" s="36" t="n"/>
      <c r="J96" s="69" t="n"/>
      <c r="K96" s="36" t="n"/>
      <c r="L96" s="34" t="n"/>
      <c r="M96" s="34" t="n"/>
      <c r="N96" s="37" t="n"/>
      <c r="O96" s="34" t="n"/>
      <c r="P96" s="34" t="n"/>
      <c r="Q96" s="38">
        <f>IF($A96="","",IF($P96="","",IFERROR(INDEX('Opportunities'!$C$6:$C$205,MATCH($P96,'Opportunities'!$A$6:$A$205,0)),"")))</f>
        <v/>
      </c>
      <c r="R96" s="38">
        <f>IF($A96="","",IF($P96="","",IFERROR(INDEX('Opportunities'!$D$6:$D$205,MATCH($P96,'Opportunities'!$A$6:$A$205,0)),"")))</f>
        <v/>
      </c>
      <c r="S96" s="38">
        <f>IF($A96="","",IF($P96="","",IFERROR(INDEX('Opportunities'!$E$6:$E$205,MATCH($P96,'Opportunities'!$A$6:$A$205,0)),"")))</f>
        <v/>
      </c>
      <c r="T96" s="38">
        <f>IF($A96="","",IF($P96="","",IFERROR(INDEX('Opportunities'!$F$6:$F$205,MATCH($P96,'Opportunities'!$A$6:$A$205,0)),"")))</f>
        <v/>
      </c>
      <c r="U96" s="70">
        <f>IF($A96="","",IF($P96="","",IFERROR(INDEX('Opportunities'!$G$6:$G$205,MATCH($P96,'Opportunities'!$A$6:$A$205,0)),"")))</f>
        <v/>
      </c>
      <c r="V96" s="40">
        <f>IF($A96="","",IF($P96="","",IFERROR(INDEX('Opportunities'!$H$6:$H$205,MATCH($P96,'Opportunities'!$A$6:$A$205,0)),"")))</f>
        <v/>
      </c>
      <c r="W96" s="38">
        <f>IF($A96="","",IF($P96="","",IFERROR(INDEX('Opportunities'!$I$6:$I$205,MATCH($P96,'Opportunities'!$A$6:$A$205,0)),"")))</f>
        <v/>
      </c>
      <c r="X96" s="38">
        <f>IF($A96="","",IF($P96="","",IFERROR(INDEX('Opportunities'!$J$6:$J$205,MATCH($P96,'Opportunities'!$A$6:$A$205,0)),"")))</f>
        <v/>
      </c>
      <c r="Y96" s="70">
        <f>IF($A96="","",IF($P96="","",IFERROR(INDEX('Opportunities'!$K$6:$K$205,MATCH($P96,'Opportunities'!$A$6:$A$205,0)),"")))</f>
        <v/>
      </c>
      <c r="Z96" s="41">
        <f>IF($A96="","",IF($P96="","",IFERROR(INDEX('Opportunities'!$O$6:$O$205,MATCH($P96,'Opportunities'!$A$6:$A$205,0)),"")))</f>
        <v/>
      </c>
      <c r="AA96" s="41">
        <f>IF($A96="","",IF($P96="","",IFERROR(INDEX('Opportunities'!$P$6:$P$205,MATCH($P96,'Opportunities'!$A$6:$A$205,0)),"")))</f>
        <v/>
      </c>
      <c r="AB96" s="41">
        <f>IF($A96="","",IF($P96="","",IFERROR(INDEX('Opportunities'!$Q$6:$Q$205,MATCH($P96,'Opportunities'!$A$6:$A$205,0)),"")))</f>
        <v/>
      </c>
      <c r="AC96" s="71">
        <f>IF($A96="","",IF($P96="","",IFERROR(INDEX('Opportunities'!$Z$6:$Z$205,MATCH($P96,'Opportunities'!$A$6:$A$205,0)),"")))</f>
        <v/>
      </c>
      <c r="AD96" s="71">
        <f>IF($A96="","",IF($P96="","",IFERROR(INDEX('Opportunities'!$AJ$6:$AJ$205,MATCH($P96,'Opportunities'!$A$6:$A$205,0)),"")))</f>
        <v/>
      </c>
      <c r="AE96" s="72">
        <f>IF($A96="","",IF($P96="","",IFERROR(INDEX('Opportunities'!$AA$6:$AA$205,MATCH($P96,'Opportunities'!$A$6:$A$205,0)),"")))</f>
        <v/>
      </c>
      <c r="AF96" s="73">
        <f>IF($A96="","",IF($P96="","",IFERROR(INDEX('Opportunities'!$AF$6:$AF$205,MATCH($P96,'Opportunities'!$A$6:$A$205,0)),"")))</f>
        <v/>
      </c>
      <c r="AG96" s="41">
        <f>IF($A96="","",IF($P96="","",IFERROR(INDEX('Opportunities'!$AB$6:$AB$205,MATCH($P96,'Opportunities'!$A$6:$A$205,0)),"")))</f>
        <v/>
      </c>
      <c r="AH96" s="74">
        <f>IF($A96="","",IF($P96="","",IFERROR(($U96+$V96-$J96-$K96)*24,0)))</f>
        <v/>
      </c>
      <c r="AI96" s="38">
        <f>IF($A96="","",IF($P96="","No load selected",IF($AH96&lt;IFERROR($Z96/'Settings'!$B$11,0)+'Settings'!$B$12,"Too tight",IF($AH96&gt;'Settings'!$B$13,"Long wait","Feasible"))))</f>
        <v/>
      </c>
      <c r="AJ96" s="41">
        <f>IF($A96="","",IF($P96="","",$N96-$Z96-$AB96))</f>
        <v/>
      </c>
      <c r="AK96" s="38">
        <f>IF($A96="","",IF(COUNTIF($A$6:$A$205,$A96)&gt;1,"Duplicate Trip ID",IF($P96="","Open",IF(COUNTIF('Opportunities'!$A$6:$A$205,$P96)=0,"Load ID not found",IF(COUNTIFS('Opportunities'!$A$6:$A$205,$P96,'Opportunities'!$B$6:$B$205,$A96)=0,"Trip mismatch",IF(COUNTIF($P$6:$P$205,$P96)&gt;1,"Duplicate selection",IF(AND(OR($O96="Booked",$O96="Completed"),AND($Q96&lt;&gt;"Booked",$Q96&lt;&gt;"Completed")),"Status mismatch","OK")))))))</f>
        <v/>
      </c>
      <c r="AL96" s="46" t="n"/>
    </row>
    <row r="97">
      <c r="A97" s="34" t="n"/>
      <c r="B97" s="34" t="n"/>
      <c r="C97" s="34" t="n"/>
      <c r="D97" s="34" t="n"/>
      <c r="E97" s="34" t="n"/>
      <c r="F97" s="34" t="n"/>
      <c r="G97" s="34" t="n"/>
      <c r="H97" s="69" t="n"/>
      <c r="I97" s="36" t="n"/>
      <c r="J97" s="69" t="n"/>
      <c r="K97" s="36" t="n"/>
      <c r="L97" s="34" t="n"/>
      <c r="M97" s="34" t="n"/>
      <c r="N97" s="37" t="n"/>
      <c r="O97" s="34" t="n"/>
      <c r="P97" s="34" t="n"/>
      <c r="Q97" s="38">
        <f>IF($A97="","",IF($P97="","",IFERROR(INDEX('Opportunities'!$C$6:$C$205,MATCH($P97,'Opportunities'!$A$6:$A$205,0)),"")))</f>
        <v/>
      </c>
      <c r="R97" s="38">
        <f>IF($A97="","",IF($P97="","",IFERROR(INDEX('Opportunities'!$D$6:$D$205,MATCH($P97,'Opportunities'!$A$6:$A$205,0)),"")))</f>
        <v/>
      </c>
      <c r="S97" s="38">
        <f>IF($A97="","",IF($P97="","",IFERROR(INDEX('Opportunities'!$E$6:$E$205,MATCH($P97,'Opportunities'!$A$6:$A$205,0)),"")))</f>
        <v/>
      </c>
      <c r="T97" s="38">
        <f>IF($A97="","",IF($P97="","",IFERROR(INDEX('Opportunities'!$F$6:$F$205,MATCH($P97,'Opportunities'!$A$6:$A$205,0)),"")))</f>
        <v/>
      </c>
      <c r="U97" s="70">
        <f>IF($A97="","",IF($P97="","",IFERROR(INDEX('Opportunities'!$G$6:$G$205,MATCH($P97,'Opportunities'!$A$6:$A$205,0)),"")))</f>
        <v/>
      </c>
      <c r="V97" s="40">
        <f>IF($A97="","",IF($P97="","",IFERROR(INDEX('Opportunities'!$H$6:$H$205,MATCH($P97,'Opportunities'!$A$6:$A$205,0)),"")))</f>
        <v/>
      </c>
      <c r="W97" s="38">
        <f>IF($A97="","",IF($P97="","",IFERROR(INDEX('Opportunities'!$I$6:$I$205,MATCH($P97,'Opportunities'!$A$6:$A$205,0)),"")))</f>
        <v/>
      </c>
      <c r="X97" s="38">
        <f>IF($A97="","",IF($P97="","",IFERROR(INDEX('Opportunities'!$J$6:$J$205,MATCH($P97,'Opportunities'!$A$6:$A$205,0)),"")))</f>
        <v/>
      </c>
      <c r="Y97" s="70">
        <f>IF($A97="","",IF($P97="","",IFERROR(INDEX('Opportunities'!$K$6:$K$205,MATCH($P97,'Opportunities'!$A$6:$A$205,0)),"")))</f>
        <v/>
      </c>
      <c r="Z97" s="41">
        <f>IF($A97="","",IF($P97="","",IFERROR(INDEX('Opportunities'!$O$6:$O$205,MATCH($P97,'Opportunities'!$A$6:$A$205,0)),"")))</f>
        <v/>
      </c>
      <c r="AA97" s="41">
        <f>IF($A97="","",IF($P97="","",IFERROR(INDEX('Opportunities'!$P$6:$P$205,MATCH($P97,'Opportunities'!$A$6:$A$205,0)),"")))</f>
        <v/>
      </c>
      <c r="AB97" s="41">
        <f>IF($A97="","",IF($P97="","",IFERROR(INDEX('Opportunities'!$Q$6:$Q$205,MATCH($P97,'Opportunities'!$A$6:$A$205,0)),"")))</f>
        <v/>
      </c>
      <c r="AC97" s="71">
        <f>IF($A97="","",IF($P97="","",IFERROR(INDEX('Opportunities'!$Z$6:$Z$205,MATCH($P97,'Opportunities'!$A$6:$A$205,0)),"")))</f>
        <v/>
      </c>
      <c r="AD97" s="71">
        <f>IF($A97="","",IF($P97="","",IFERROR(INDEX('Opportunities'!$AJ$6:$AJ$205,MATCH($P97,'Opportunities'!$A$6:$A$205,0)),"")))</f>
        <v/>
      </c>
      <c r="AE97" s="72">
        <f>IF($A97="","",IF($P97="","",IFERROR(INDEX('Opportunities'!$AA$6:$AA$205,MATCH($P97,'Opportunities'!$A$6:$A$205,0)),"")))</f>
        <v/>
      </c>
      <c r="AF97" s="73">
        <f>IF($A97="","",IF($P97="","",IFERROR(INDEX('Opportunities'!$AF$6:$AF$205,MATCH($P97,'Opportunities'!$A$6:$A$205,0)),"")))</f>
        <v/>
      </c>
      <c r="AG97" s="41">
        <f>IF($A97="","",IF($P97="","",IFERROR(INDEX('Opportunities'!$AB$6:$AB$205,MATCH($P97,'Opportunities'!$A$6:$A$205,0)),"")))</f>
        <v/>
      </c>
      <c r="AH97" s="74">
        <f>IF($A97="","",IF($P97="","",IFERROR(($U97+$V97-$J97-$K97)*24,0)))</f>
        <v/>
      </c>
      <c r="AI97" s="38">
        <f>IF($A97="","",IF($P97="","No load selected",IF($AH97&lt;IFERROR($Z97/'Settings'!$B$11,0)+'Settings'!$B$12,"Too tight",IF($AH97&gt;'Settings'!$B$13,"Long wait","Feasible"))))</f>
        <v/>
      </c>
      <c r="AJ97" s="41">
        <f>IF($A97="","",IF($P97="","",$N97-$Z97-$AB97))</f>
        <v/>
      </c>
      <c r="AK97" s="38">
        <f>IF($A97="","",IF(COUNTIF($A$6:$A$205,$A97)&gt;1,"Duplicate Trip ID",IF($P97="","Open",IF(COUNTIF('Opportunities'!$A$6:$A$205,$P97)=0,"Load ID not found",IF(COUNTIFS('Opportunities'!$A$6:$A$205,$P97,'Opportunities'!$B$6:$B$205,$A97)=0,"Trip mismatch",IF(COUNTIF($P$6:$P$205,$P97)&gt;1,"Duplicate selection",IF(AND(OR($O97="Booked",$O97="Completed"),AND($Q97&lt;&gt;"Booked",$Q97&lt;&gt;"Completed")),"Status mismatch","OK")))))))</f>
        <v/>
      </c>
      <c r="AL97" s="46" t="n"/>
    </row>
    <row r="98">
      <c r="A98" s="34" t="n"/>
      <c r="B98" s="34" t="n"/>
      <c r="C98" s="34" t="n"/>
      <c r="D98" s="34" t="n"/>
      <c r="E98" s="34" t="n"/>
      <c r="F98" s="34" t="n"/>
      <c r="G98" s="34" t="n"/>
      <c r="H98" s="69" t="n"/>
      <c r="I98" s="36" t="n"/>
      <c r="J98" s="69" t="n"/>
      <c r="K98" s="36" t="n"/>
      <c r="L98" s="34" t="n"/>
      <c r="M98" s="34" t="n"/>
      <c r="N98" s="37" t="n"/>
      <c r="O98" s="34" t="n"/>
      <c r="P98" s="34" t="n"/>
      <c r="Q98" s="38">
        <f>IF($A98="","",IF($P98="","",IFERROR(INDEX('Opportunities'!$C$6:$C$205,MATCH($P98,'Opportunities'!$A$6:$A$205,0)),"")))</f>
        <v/>
      </c>
      <c r="R98" s="38">
        <f>IF($A98="","",IF($P98="","",IFERROR(INDEX('Opportunities'!$D$6:$D$205,MATCH($P98,'Opportunities'!$A$6:$A$205,0)),"")))</f>
        <v/>
      </c>
      <c r="S98" s="38">
        <f>IF($A98="","",IF($P98="","",IFERROR(INDEX('Opportunities'!$E$6:$E$205,MATCH($P98,'Opportunities'!$A$6:$A$205,0)),"")))</f>
        <v/>
      </c>
      <c r="T98" s="38">
        <f>IF($A98="","",IF($P98="","",IFERROR(INDEX('Opportunities'!$F$6:$F$205,MATCH($P98,'Opportunities'!$A$6:$A$205,0)),"")))</f>
        <v/>
      </c>
      <c r="U98" s="70">
        <f>IF($A98="","",IF($P98="","",IFERROR(INDEX('Opportunities'!$G$6:$G$205,MATCH($P98,'Opportunities'!$A$6:$A$205,0)),"")))</f>
        <v/>
      </c>
      <c r="V98" s="40">
        <f>IF($A98="","",IF($P98="","",IFERROR(INDEX('Opportunities'!$H$6:$H$205,MATCH($P98,'Opportunities'!$A$6:$A$205,0)),"")))</f>
        <v/>
      </c>
      <c r="W98" s="38">
        <f>IF($A98="","",IF($P98="","",IFERROR(INDEX('Opportunities'!$I$6:$I$205,MATCH($P98,'Opportunities'!$A$6:$A$205,0)),"")))</f>
        <v/>
      </c>
      <c r="X98" s="38">
        <f>IF($A98="","",IF($P98="","",IFERROR(INDEX('Opportunities'!$J$6:$J$205,MATCH($P98,'Opportunities'!$A$6:$A$205,0)),"")))</f>
        <v/>
      </c>
      <c r="Y98" s="70">
        <f>IF($A98="","",IF($P98="","",IFERROR(INDEX('Opportunities'!$K$6:$K$205,MATCH($P98,'Opportunities'!$A$6:$A$205,0)),"")))</f>
        <v/>
      </c>
      <c r="Z98" s="41">
        <f>IF($A98="","",IF($P98="","",IFERROR(INDEX('Opportunities'!$O$6:$O$205,MATCH($P98,'Opportunities'!$A$6:$A$205,0)),"")))</f>
        <v/>
      </c>
      <c r="AA98" s="41">
        <f>IF($A98="","",IF($P98="","",IFERROR(INDEX('Opportunities'!$P$6:$P$205,MATCH($P98,'Opportunities'!$A$6:$A$205,0)),"")))</f>
        <v/>
      </c>
      <c r="AB98" s="41">
        <f>IF($A98="","",IF($P98="","",IFERROR(INDEX('Opportunities'!$Q$6:$Q$205,MATCH($P98,'Opportunities'!$A$6:$A$205,0)),"")))</f>
        <v/>
      </c>
      <c r="AC98" s="71">
        <f>IF($A98="","",IF($P98="","",IFERROR(INDEX('Opportunities'!$Z$6:$Z$205,MATCH($P98,'Opportunities'!$A$6:$A$205,0)),"")))</f>
        <v/>
      </c>
      <c r="AD98" s="71">
        <f>IF($A98="","",IF($P98="","",IFERROR(INDEX('Opportunities'!$AJ$6:$AJ$205,MATCH($P98,'Opportunities'!$A$6:$A$205,0)),"")))</f>
        <v/>
      </c>
      <c r="AE98" s="72">
        <f>IF($A98="","",IF($P98="","",IFERROR(INDEX('Opportunities'!$AA$6:$AA$205,MATCH($P98,'Opportunities'!$A$6:$A$205,0)),"")))</f>
        <v/>
      </c>
      <c r="AF98" s="73">
        <f>IF($A98="","",IF($P98="","",IFERROR(INDEX('Opportunities'!$AF$6:$AF$205,MATCH($P98,'Opportunities'!$A$6:$A$205,0)),"")))</f>
        <v/>
      </c>
      <c r="AG98" s="41">
        <f>IF($A98="","",IF($P98="","",IFERROR(INDEX('Opportunities'!$AB$6:$AB$205,MATCH($P98,'Opportunities'!$A$6:$A$205,0)),"")))</f>
        <v/>
      </c>
      <c r="AH98" s="74">
        <f>IF($A98="","",IF($P98="","",IFERROR(($U98+$V98-$J98-$K98)*24,0)))</f>
        <v/>
      </c>
      <c r="AI98" s="38">
        <f>IF($A98="","",IF($P98="","No load selected",IF($AH98&lt;IFERROR($Z98/'Settings'!$B$11,0)+'Settings'!$B$12,"Too tight",IF($AH98&gt;'Settings'!$B$13,"Long wait","Feasible"))))</f>
        <v/>
      </c>
      <c r="AJ98" s="41">
        <f>IF($A98="","",IF($P98="","",$N98-$Z98-$AB98))</f>
        <v/>
      </c>
      <c r="AK98" s="38">
        <f>IF($A98="","",IF(COUNTIF($A$6:$A$205,$A98)&gt;1,"Duplicate Trip ID",IF($P98="","Open",IF(COUNTIF('Opportunities'!$A$6:$A$205,$P98)=0,"Load ID not found",IF(COUNTIFS('Opportunities'!$A$6:$A$205,$P98,'Opportunities'!$B$6:$B$205,$A98)=0,"Trip mismatch",IF(COUNTIF($P$6:$P$205,$P98)&gt;1,"Duplicate selection",IF(AND(OR($O98="Booked",$O98="Completed"),AND($Q98&lt;&gt;"Booked",$Q98&lt;&gt;"Completed")),"Status mismatch","OK")))))))</f>
        <v/>
      </c>
      <c r="AL98" s="46" t="n"/>
    </row>
    <row r="99">
      <c r="A99" s="34" t="n"/>
      <c r="B99" s="34" t="n"/>
      <c r="C99" s="34" t="n"/>
      <c r="D99" s="34" t="n"/>
      <c r="E99" s="34" t="n"/>
      <c r="F99" s="34" t="n"/>
      <c r="G99" s="34" t="n"/>
      <c r="H99" s="69" t="n"/>
      <c r="I99" s="36" t="n"/>
      <c r="J99" s="69" t="n"/>
      <c r="K99" s="36" t="n"/>
      <c r="L99" s="34" t="n"/>
      <c r="M99" s="34" t="n"/>
      <c r="N99" s="37" t="n"/>
      <c r="O99" s="34" t="n"/>
      <c r="P99" s="34" t="n"/>
      <c r="Q99" s="38">
        <f>IF($A99="","",IF($P99="","",IFERROR(INDEX('Opportunities'!$C$6:$C$205,MATCH($P99,'Opportunities'!$A$6:$A$205,0)),"")))</f>
        <v/>
      </c>
      <c r="R99" s="38">
        <f>IF($A99="","",IF($P99="","",IFERROR(INDEX('Opportunities'!$D$6:$D$205,MATCH($P99,'Opportunities'!$A$6:$A$205,0)),"")))</f>
        <v/>
      </c>
      <c r="S99" s="38">
        <f>IF($A99="","",IF($P99="","",IFERROR(INDEX('Opportunities'!$E$6:$E$205,MATCH($P99,'Opportunities'!$A$6:$A$205,0)),"")))</f>
        <v/>
      </c>
      <c r="T99" s="38">
        <f>IF($A99="","",IF($P99="","",IFERROR(INDEX('Opportunities'!$F$6:$F$205,MATCH($P99,'Opportunities'!$A$6:$A$205,0)),"")))</f>
        <v/>
      </c>
      <c r="U99" s="70">
        <f>IF($A99="","",IF($P99="","",IFERROR(INDEX('Opportunities'!$G$6:$G$205,MATCH($P99,'Opportunities'!$A$6:$A$205,0)),"")))</f>
        <v/>
      </c>
      <c r="V99" s="40">
        <f>IF($A99="","",IF($P99="","",IFERROR(INDEX('Opportunities'!$H$6:$H$205,MATCH($P99,'Opportunities'!$A$6:$A$205,0)),"")))</f>
        <v/>
      </c>
      <c r="W99" s="38">
        <f>IF($A99="","",IF($P99="","",IFERROR(INDEX('Opportunities'!$I$6:$I$205,MATCH($P99,'Opportunities'!$A$6:$A$205,0)),"")))</f>
        <v/>
      </c>
      <c r="X99" s="38">
        <f>IF($A99="","",IF($P99="","",IFERROR(INDEX('Opportunities'!$J$6:$J$205,MATCH($P99,'Opportunities'!$A$6:$A$205,0)),"")))</f>
        <v/>
      </c>
      <c r="Y99" s="70">
        <f>IF($A99="","",IF($P99="","",IFERROR(INDEX('Opportunities'!$K$6:$K$205,MATCH($P99,'Opportunities'!$A$6:$A$205,0)),"")))</f>
        <v/>
      </c>
      <c r="Z99" s="41">
        <f>IF($A99="","",IF($P99="","",IFERROR(INDEX('Opportunities'!$O$6:$O$205,MATCH($P99,'Opportunities'!$A$6:$A$205,0)),"")))</f>
        <v/>
      </c>
      <c r="AA99" s="41">
        <f>IF($A99="","",IF($P99="","",IFERROR(INDEX('Opportunities'!$P$6:$P$205,MATCH($P99,'Opportunities'!$A$6:$A$205,0)),"")))</f>
        <v/>
      </c>
      <c r="AB99" s="41">
        <f>IF($A99="","",IF($P99="","",IFERROR(INDEX('Opportunities'!$Q$6:$Q$205,MATCH($P99,'Opportunities'!$A$6:$A$205,0)),"")))</f>
        <v/>
      </c>
      <c r="AC99" s="71">
        <f>IF($A99="","",IF($P99="","",IFERROR(INDEX('Opportunities'!$Z$6:$Z$205,MATCH($P99,'Opportunities'!$A$6:$A$205,0)),"")))</f>
        <v/>
      </c>
      <c r="AD99" s="71">
        <f>IF($A99="","",IF($P99="","",IFERROR(INDEX('Opportunities'!$AJ$6:$AJ$205,MATCH($P99,'Opportunities'!$A$6:$A$205,0)),"")))</f>
        <v/>
      </c>
      <c r="AE99" s="72">
        <f>IF($A99="","",IF($P99="","",IFERROR(INDEX('Opportunities'!$AA$6:$AA$205,MATCH($P99,'Opportunities'!$A$6:$A$205,0)),"")))</f>
        <v/>
      </c>
      <c r="AF99" s="73">
        <f>IF($A99="","",IF($P99="","",IFERROR(INDEX('Opportunities'!$AF$6:$AF$205,MATCH($P99,'Opportunities'!$A$6:$A$205,0)),"")))</f>
        <v/>
      </c>
      <c r="AG99" s="41">
        <f>IF($A99="","",IF($P99="","",IFERROR(INDEX('Opportunities'!$AB$6:$AB$205,MATCH($P99,'Opportunities'!$A$6:$A$205,0)),"")))</f>
        <v/>
      </c>
      <c r="AH99" s="74">
        <f>IF($A99="","",IF($P99="","",IFERROR(($U99+$V99-$J99-$K99)*24,0)))</f>
        <v/>
      </c>
      <c r="AI99" s="38">
        <f>IF($A99="","",IF($P99="","No load selected",IF($AH99&lt;IFERROR($Z99/'Settings'!$B$11,0)+'Settings'!$B$12,"Too tight",IF($AH99&gt;'Settings'!$B$13,"Long wait","Feasible"))))</f>
        <v/>
      </c>
      <c r="AJ99" s="41">
        <f>IF($A99="","",IF($P99="","",$N99-$Z99-$AB99))</f>
        <v/>
      </c>
      <c r="AK99" s="38">
        <f>IF($A99="","",IF(COUNTIF($A$6:$A$205,$A99)&gt;1,"Duplicate Trip ID",IF($P99="","Open",IF(COUNTIF('Opportunities'!$A$6:$A$205,$P99)=0,"Load ID not found",IF(COUNTIFS('Opportunities'!$A$6:$A$205,$P99,'Opportunities'!$B$6:$B$205,$A99)=0,"Trip mismatch",IF(COUNTIF($P$6:$P$205,$P99)&gt;1,"Duplicate selection",IF(AND(OR($O99="Booked",$O99="Completed"),AND($Q99&lt;&gt;"Booked",$Q99&lt;&gt;"Completed")),"Status mismatch","OK")))))))</f>
        <v/>
      </c>
      <c r="AL99" s="46" t="n"/>
    </row>
    <row r="100">
      <c r="A100" s="34" t="n"/>
      <c r="B100" s="34" t="n"/>
      <c r="C100" s="34" t="n"/>
      <c r="D100" s="34" t="n"/>
      <c r="E100" s="34" t="n"/>
      <c r="F100" s="34" t="n"/>
      <c r="G100" s="34" t="n"/>
      <c r="H100" s="69" t="n"/>
      <c r="I100" s="36" t="n"/>
      <c r="J100" s="69" t="n"/>
      <c r="K100" s="36" t="n"/>
      <c r="L100" s="34" t="n"/>
      <c r="M100" s="34" t="n"/>
      <c r="N100" s="37" t="n"/>
      <c r="O100" s="34" t="n"/>
      <c r="P100" s="34" t="n"/>
      <c r="Q100" s="38">
        <f>IF($A100="","",IF($P100="","",IFERROR(INDEX('Opportunities'!$C$6:$C$205,MATCH($P100,'Opportunities'!$A$6:$A$205,0)),"")))</f>
        <v/>
      </c>
      <c r="R100" s="38">
        <f>IF($A100="","",IF($P100="","",IFERROR(INDEX('Opportunities'!$D$6:$D$205,MATCH($P100,'Opportunities'!$A$6:$A$205,0)),"")))</f>
        <v/>
      </c>
      <c r="S100" s="38">
        <f>IF($A100="","",IF($P100="","",IFERROR(INDEX('Opportunities'!$E$6:$E$205,MATCH($P100,'Opportunities'!$A$6:$A$205,0)),"")))</f>
        <v/>
      </c>
      <c r="T100" s="38">
        <f>IF($A100="","",IF($P100="","",IFERROR(INDEX('Opportunities'!$F$6:$F$205,MATCH($P100,'Opportunities'!$A$6:$A$205,0)),"")))</f>
        <v/>
      </c>
      <c r="U100" s="70">
        <f>IF($A100="","",IF($P100="","",IFERROR(INDEX('Opportunities'!$G$6:$G$205,MATCH($P100,'Opportunities'!$A$6:$A$205,0)),"")))</f>
        <v/>
      </c>
      <c r="V100" s="40">
        <f>IF($A100="","",IF($P100="","",IFERROR(INDEX('Opportunities'!$H$6:$H$205,MATCH($P100,'Opportunities'!$A$6:$A$205,0)),"")))</f>
        <v/>
      </c>
      <c r="W100" s="38">
        <f>IF($A100="","",IF($P100="","",IFERROR(INDEX('Opportunities'!$I$6:$I$205,MATCH($P100,'Opportunities'!$A$6:$A$205,0)),"")))</f>
        <v/>
      </c>
      <c r="X100" s="38">
        <f>IF($A100="","",IF($P100="","",IFERROR(INDEX('Opportunities'!$J$6:$J$205,MATCH($P100,'Opportunities'!$A$6:$A$205,0)),"")))</f>
        <v/>
      </c>
      <c r="Y100" s="70">
        <f>IF($A100="","",IF($P100="","",IFERROR(INDEX('Opportunities'!$K$6:$K$205,MATCH($P100,'Opportunities'!$A$6:$A$205,0)),"")))</f>
        <v/>
      </c>
      <c r="Z100" s="41">
        <f>IF($A100="","",IF($P100="","",IFERROR(INDEX('Opportunities'!$O$6:$O$205,MATCH($P100,'Opportunities'!$A$6:$A$205,0)),"")))</f>
        <v/>
      </c>
      <c r="AA100" s="41">
        <f>IF($A100="","",IF($P100="","",IFERROR(INDEX('Opportunities'!$P$6:$P$205,MATCH($P100,'Opportunities'!$A$6:$A$205,0)),"")))</f>
        <v/>
      </c>
      <c r="AB100" s="41">
        <f>IF($A100="","",IF($P100="","",IFERROR(INDEX('Opportunities'!$Q$6:$Q$205,MATCH($P100,'Opportunities'!$A$6:$A$205,0)),"")))</f>
        <v/>
      </c>
      <c r="AC100" s="71">
        <f>IF($A100="","",IF($P100="","",IFERROR(INDEX('Opportunities'!$Z$6:$Z$205,MATCH($P100,'Opportunities'!$A$6:$A$205,0)),"")))</f>
        <v/>
      </c>
      <c r="AD100" s="71">
        <f>IF($A100="","",IF($P100="","",IFERROR(INDEX('Opportunities'!$AJ$6:$AJ$205,MATCH($P100,'Opportunities'!$A$6:$A$205,0)),"")))</f>
        <v/>
      </c>
      <c r="AE100" s="72">
        <f>IF($A100="","",IF($P100="","",IFERROR(INDEX('Opportunities'!$AA$6:$AA$205,MATCH($P100,'Opportunities'!$A$6:$A$205,0)),"")))</f>
        <v/>
      </c>
      <c r="AF100" s="73">
        <f>IF($A100="","",IF($P100="","",IFERROR(INDEX('Opportunities'!$AF$6:$AF$205,MATCH($P100,'Opportunities'!$A$6:$A$205,0)),"")))</f>
        <v/>
      </c>
      <c r="AG100" s="41">
        <f>IF($A100="","",IF($P100="","",IFERROR(INDEX('Opportunities'!$AB$6:$AB$205,MATCH($P100,'Opportunities'!$A$6:$A$205,0)),"")))</f>
        <v/>
      </c>
      <c r="AH100" s="74">
        <f>IF($A100="","",IF($P100="","",IFERROR(($U100+$V100-$J100-$K100)*24,0)))</f>
        <v/>
      </c>
      <c r="AI100" s="38">
        <f>IF($A100="","",IF($P100="","No load selected",IF($AH100&lt;IFERROR($Z100/'Settings'!$B$11,0)+'Settings'!$B$12,"Too tight",IF($AH100&gt;'Settings'!$B$13,"Long wait","Feasible"))))</f>
        <v/>
      </c>
      <c r="AJ100" s="41">
        <f>IF($A100="","",IF($P100="","",$N100-$Z100-$AB100))</f>
        <v/>
      </c>
      <c r="AK100" s="38">
        <f>IF($A100="","",IF(COUNTIF($A$6:$A$205,$A100)&gt;1,"Duplicate Trip ID",IF($P100="","Open",IF(COUNTIF('Opportunities'!$A$6:$A$205,$P100)=0,"Load ID not found",IF(COUNTIFS('Opportunities'!$A$6:$A$205,$P100,'Opportunities'!$B$6:$B$205,$A100)=0,"Trip mismatch",IF(COUNTIF($P$6:$P$205,$P100)&gt;1,"Duplicate selection",IF(AND(OR($O100="Booked",$O100="Completed"),AND($Q100&lt;&gt;"Booked",$Q100&lt;&gt;"Completed")),"Status mismatch","OK")))))))</f>
        <v/>
      </c>
      <c r="AL100" s="46" t="n"/>
    </row>
    <row r="101">
      <c r="A101" s="34" t="n"/>
      <c r="B101" s="34" t="n"/>
      <c r="C101" s="34" t="n"/>
      <c r="D101" s="34" t="n"/>
      <c r="E101" s="34" t="n"/>
      <c r="F101" s="34" t="n"/>
      <c r="G101" s="34" t="n"/>
      <c r="H101" s="69" t="n"/>
      <c r="I101" s="36" t="n"/>
      <c r="J101" s="69" t="n"/>
      <c r="K101" s="36" t="n"/>
      <c r="L101" s="34" t="n"/>
      <c r="M101" s="34" t="n"/>
      <c r="N101" s="37" t="n"/>
      <c r="O101" s="34" t="n"/>
      <c r="P101" s="34" t="n"/>
      <c r="Q101" s="38">
        <f>IF($A101="","",IF($P101="","",IFERROR(INDEX('Opportunities'!$C$6:$C$205,MATCH($P101,'Opportunities'!$A$6:$A$205,0)),"")))</f>
        <v/>
      </c>
      <c r="R101" s="38">
        <f>IF($A101="","",IF($P101="","",IFERROR(INDEX('Opportunities'!$D$6:$D$205,MATCH($P101,'Opportunities'!$A$6:$A$205,0)),"")))</f>
        <v/>
      </c>
      <c r="S101" s="38">
        <f>IF($A101="","",IF($P101="","",IFERROR(INDEX('Opportunities'!$E$6:$E$205,MATCH($P101,'Opportunities'!$A$6:$A$205,0)),"")))</f>
        <v/>
      </c>
      <c r="T101" s="38">
        <f>IF($A101="","",IF($P101="","",IFERROR(INDEX('Opportunities'!$F$6:$F$205,MATCH($P101,'Opportunities'!$A$6:$A$205,0)),"")))</f>
        <v/>
      </c>
      <c r="U101" s="70">
        <f>IF($A101="","",IF($P101="","",IFERROR(INDEX('Opportunities'!$G$6:$G$205,MATCH($P101,'Opportunities'!$A$6:$A$205,0)),"")))</f>
        <v/>
      </c>
      <c r="V101" s="40">
        <f>IF($A101="","",IF($P101="","",IFERROR(INDEX('Opportunities'!$H$6:$H$205,MATCH($P101,'Opportunities'!$A$6:$A$205,0)),"")))</f>
        <v/>
      </c>
      <c r="W101" s="38">
        <f>IF($A101="","",IF($P101="","",IFERROR(INDEX('Opportunities'!$I$6:$I$205,MATCH($P101,'Opportunities'!$A$6:$A$205,0)),"")))</f>
        <v/>
      </c>
      <c r="X101" s="38">
        <f>IF($A101="","",IF($P101="","",IFERROR(INDEX('Opportunities'!$J$6:$J$205,MATCH($P101,'Opportunities'!$A$6:$A$205,0)),"")))</f>
        <v/>
      </c>
      <c r="Y101" s="70">
        <f>IF($A101="","",IF($P101="","",IFERROR(INDEX('Opportunities'!$K$6:$K$205,MATCH($P101,'Opportunities'!$A$6:$A$205,0)),"")))</f>
        <v/>
      </c>
      <c r="Z101" s="41">
        <f>IF($A101="","",IF($P101="","",IFERROR(INDEX('Opportunities'!$O$6:$O$205,MATCH($P101,'Opportunities'!$A$6:$A$205,0)),"")))</f>
        <v/>
      </c>
      <c r="AA101" s="41">
        <f>IF($A101="","",IF($P101="","",IFERROR(INDEX('Opportunities'!$P$6:$P$205,MATCH($P101,'Opportunities'!$A$6:$A$205,0)),"")))</f>
        <v/>
      </c>
      <c r="AB101" s="41">
        <f>IF($A101="","",IF($P101="","",IFERROR(INDEX('Opportunities'!$Q$6:$Q$205,MATCH($P101,'Opportunities'!$A$6:$A$205,0)),"")))</f>
        <v/>
      </c>
      <c r="AC101" s="71">
        <f>IF($A101="","",IF($P101="","",IFERROR(INDEX('Opportunities'!$Z$6:$Z$205,MATCH($P101,'Opportunities'!$A$6:$A$205,0)),"")))</f>
        <v/>
      </c>
      <c r="AD101" s="71">
        <f>IF($A101="","",IF($P101="","",IFERROR(INDEX('Opportunities'!$AJ$6:$AJ$205,MATCH($P101,'Opportunities'!$A$6:$A$205,0)),"")))</f>
        <v/>
      </c>
      <c r="AE101" s="72">
        <f>IF($A101="","",IF($P101="","",IFERROR(INDEX('Opportunities'!$AA$6:$AA$205,MATCH($P101,'Opportunities'!$A$6:$A$205,0)),"")))</f>
        <v/>
      </c>
      <c r="AF101" s="73">
        <f>IF($A101="","",IF($P101="","",IFERROR(INDEX('Opportunities'!$AF$6:$AF$205,MATCH($P101,'Opportunities'!$A$6:$A$205,0)),"")))</f>
        <v/>
      </c>
      <c r="AG101" s="41">
        <f>IF($A101="","",IF($P101="","",IFERROR(INDEX('Opportunities'!$AB$6:$AB$205,MATCH($P101,'Opportunities'!$A$6:$A$205,0)),"")))</f>
        <v/>
      </c>
      <c r="AH101" s="74">
        <f>IF($A101="","",IF($P101="","",IFERROR(($U101+$V101-$J101-$K101)*24,0)))</f>
        <v/>
      </c>
      <c r="AI101" s="38">
        <f>IF($A101="","",IF($P101="","No load selected",IF($AH101&lt;IFERROR($Z101/'Settings'!$B$11,0)+'Settings'!$B$12,"Too tight",IF($AH101&gt;'Settings'!$B$13,"Long wait","Feasible"))))</f>
        <v/>
      </c>
      <c r="AJ101" s="41">
        <f>IF($A101="","",IF($P101="","",$N101-$Z101-$AB101))</f>
        <v/>
      </c>
      <c r="AK101" s="38">
        <f>IF($A101="","",IF(COUNTIF($A$6:$A$205,$A101)&gt;1,"Duplicate Trip ID",IF($P101="","Open",IF(COUNTIF('Opportunities'!$A$6:$A$205,$P101)=0,"Load ID not found",IF(COUNTIFS('Opportunities'!$A$6:$A$205,$P101,'Opportunities'!$B$6:$B$205,$A101)=0,"Trip mismatch",IF(COUNTIF($P$6:$P$205,$P101)&gt;1,"Duplicate selection",IF(AND(OR($O101="Booked",$O101="Completed"),AND($Q101&lt;&gt;"Booked",$Q101&lt;&gt;"Completed")),"Status mismatch","OK")))))))</f>
        <v/>
      </c>
      <c r="AL101" s="46" t="n"/>
    </row>
    <row r="102">
      <c r="A102" s="34" t="n"/>
      <c r="B102" s="34" t="n"/>
      <c r="C102" s="34" t="n"/>
      <c r="D102" s="34" t="n"/>
      <c r="E102" s="34" t="n"/>
      <c r="F102" s="34" t="n"/>
      <c r="G102" s="34" t="n"/>
      <c r="H102" s="69" t="n"/>
      <c r="I102" s="36" t="n"/>
      <c r="J102" s="69" t="n"/>
      <c r="K102" s="36" t="n"/>
      <c r="L102" s="34" t="n"/>
      <c r="M102" s="34" t="n"/>
      <c r="N102" s="37" t="n"/>
      <c r="O102" s="34" t="n"/>
      <c r="P102" s="34" t="n"/>
      <c r="Q102" s="38">
        <f>IF($A102="","",IF($P102="","",IFERROR(INDEX('Opportunities'!$C$6:$C$205,MATCH($P102,'Opportunities'!$A$6:$A$205,0)),"")))</f>
        <v/>
      </c>
      <c r="R102" s="38">
        <f>IF($A102="","",IF($P102="","",IFERROR(INDEX('Opportunities'!$D$6:$D$205,MATCH($P102,'Opportunities'!$A$6:$A$205,0)),"")))</f>
        <v/>
      </c>
      <c r="S102" s="38">
        <f>IF($A102="","",IF($P102="","",IFERROR(INDEX('Opportunities'!$E$6:$E$205,MATCH($P102,'Opportunities'!$A$6:$A$205,0)),"")))</f>
        <v/>
      </c>
      <c r="T102" s="38">
        <f>IF($A102="","",IF($P102="","",IFERROR(INDEX('Opportunities'!$F$6:$F$205,MATCH($P102,'Opportunities'!$A$6:$A$205,0)),"")))</f>
        <v/>
      </c>
      <c r="U102" s="70">
        <f>IF($A102="","",IF($P102="","",IFERROR(INDEX('Opportunities'!$G$6:$G$205,MATCH($P102,'Opportunities'!$A$6:$A$205,0)),"")))</f>
        <v/>
      </c>
      <c r="V102" s="40">
        <f>IF($A102="","",IF($P102="","",IFERROR(INDEX('Opportunities'!$H$6:$H$205,MATCH($P102,'Opportunities'!$A$6:$A$205,0)),"")))</f>
        <v/>
      </c>
      <c r="W102" s="38">
        <f>IF($A102="","",IF($P102="","",IFERROR(INDEX('Opportunities'!$I$6:$I$205,MATCH($P102,'Opportunities'!$A$6:$A$205,0)),"")))</f>
        <v/>
      </c>
      <c r="X102" s="38">
        <f>IF($A102="","",IF($P102="","",IFERROR(INDEX('Opportunities'!$J$6:$J$205,MATCH($P102,'Opportunities'!$A$6:$A$205,0)),"")))</f>
        <v/>
      </c>
      <c r="Y102" s="70">
        <f>IF($A102="","",IF($P102="","",IFERROR(INDEX('Opportunities'!$K$6:$K$205,MATCH($P102,'Opportunities'!$A$6:$A$205,0)),"")))</f>
        <v/>
      </c>
      <c r="Z102" s="41">
        <f>IF($A102="","",IF($P102="","",IFERROR(INDEX('Opportunities'!$O$6:$O$205,MATCH($P102,'Opportunities'!$A$6:$A$205,0)),"")))</f>
        <v/>
      </c>
      <c r="AA102" s="41">
        <f>IF($A102="","",IF($P102="","",IFERROR(INDEX('Opportunities'!$P$6:$P$205,MATCH($P102,'Opportunities'!$A$6:$A$205,0)),"")))</f>
        <v/>
      </c>
      <c r="AB102" s="41">
        <f>IF($A102="","",IF($P102="","",IFERROR(INDEX('Opportunities'!$Q$6:$Q$205,MATCH($P102,'Opportunities'!$A$6:$A$205,0)),"")))</f>
        <v/>
      </c>
      <c r="AC102" s="71">
        <f>IF($A102="","",IF($P102="","",IFERROR(INDEX('Opportunities'!$Z$6:$Z$205,MATCH($P102,'Opportunities'!$A$6:$A$205,0)),"")))</f>
        <v/>
      </c>
      <c r="AD102" s="71">
        <f>IF($A102="","",IF($P102="","",IFERROR(INDEX('Opportunities'!$AJ$6:$AJ$205,MATCH($P102,'Opportunities'!$A$6:$A$205,0)),"")))</f>
        <v/>
      </c>
      <c r="AE102" s="72">
        <f>IF($A102="","",IF($P102="","",IFERROR(INDEX('Opportunities'!$AA$6:$AA$205,MATCH($P102,'Opportunities'!$A$6:$A$205,0)),"")))</f>
        <v/>
      </c>
      <c r="AF102" s="73">
        <f>IF($A102="","",IF($P102="","",IFERROR(INDEX('Opportunities'!$AF$6:$AF$205,MATCH($P102,'Opportunities'!$A$6:$A$205,0)),"")))</f>
        <v/>
      </c>
      <c r="AG102" s="41">
        <f>IF($A102="","",IF($P102="","",IFERROR(INDEX('Opportunities'!$AB$6:$AB$205,MATCH($P102,'Opportunities'!$A$6:$A$205,0)),"")))</f>
        <v/>
      </c>
      <c r="AH102" s="74">
        <f>IF($A102="","",IF($P102="","",IFERROR(($U102+$V102-$J102-$K102)*24,0)))</f>
        <v/>
      </c>
      <c r="AI102" s="38">
        <f>IF($A102="","",IF($P102="","No load selected",IF($AH102&lt;IFERROR($Z102/'Settings'!$B$11,0)+'Settings'!$B$12,"Too tight",IF($AH102&gt;'Settings'!$B$13,"Long wait","Feasible"))))</f>
        <v/>
      </c>
      <c r="AJ102" s="41">
        <f>IF($A102="","",IF($P102="","",$N102-$Z102-$AB102))</f>
        <v/>
      </c>
      <c r="AK102" s="38">
        <f>IF($A102="","",IF(COUNTIF($A$6:$A$205,$A102)&gt;1,"Duplicate Trip ID",IF($P102="","Open",IF(COUNTIF('Opportunities'!$A$6:$A$205,$P102)=0,"Load ID not found",IF(COUNTIFS('Opportunities'!$A$6:$A$205,$P102,'Opportunities'!$B$6:$B$205,$A102)=0,"Trip mismatch",IF(COUNTIF($P$6:$P$205,$P102)&gt;1,"Duplicate selection",IF(AND(OR($O102="Booked",$O102="Completed"),AND($Q102&lt;&gt;"Booked",$Q102&lt;&gt;"Completed")),"Status mismatch","OK")))))))</f>
        <v/>
      </c>
      <c r="AL102" s="46" t="n"/>
    </row>
    <row r="103">
      <c r="A103" s="34" t="n"/>
      <c r="B103" s="34" t="n"/>
      <c r="C103" s="34" t="n"/>
      <c r="D103" s="34" t="n"/>
      <c r="E103" s="34" t="n"/>
      <c r="F103" s="34" t="n"/>
      <c r="G103" s="34" t="n"/>
      <c r="H103" s="69" t="n"/>
      <c r="I103" s="36" t="n"/>
      <c r="J103" s="69" t="n"/>
      <c r="K103" s="36" t="n"/>
      <c r="L103" s="34" t="n"/>
      <c r="M103" s="34" t="n"/>
      <c r="N103" s="37" t="n"/>
      <c r="O103" s="34" t="n"/>
      <c r="P103" s="34" t="n"/>
      <c r="Q103" s="38">
        <f>IF($A103="","",IF($P103="","",IFERROR(INDEX('Opportunities'!$C$6:$C$205,MATCH($P103,'Opportunities'!$A$6:$A$205,0)),"")))</f>
        <v/>
      </c>
      <c r="R103" s="38">
        <f>IF($A103="","",IF($P103="","",IFERROR(INDEX('Opportunities'!$D$6:$D$205,MATCH($P103,'Opportunities'!$A$6:$A$205,0)),"")))</f>
        <v/>
      </c>
      <c r="S103" s="38">
        <f>IF($A103="","",IF($P103="","",IFERROR(INDEX('Opportunities'!$E$6:$E$205,MATCH($P103,'Opportunities'!$A$6:$A$205,0)),"")))</f>
        <v/>
      </c>
      <c r="T103" s="38">
        <f>IF($A103="","",IF($P103="","",IFERROR(INDEX('Opportunities'!$F$6:$F$205,MATCH($P103,'Opportunities'!$A$6:$A$205,0)),"")))</f>
        <v/>
      </c>
      <c r="U103" s="70">
        <f>IF($A103="","",IF($P103="","",IFERROR(INDEX('Opportunities'!$G$6:$G$205,MATCH($P103,'Opportunities'!$A$6:$A$205,0)),"")))</f>
        <v/>
      </c>
      <c r="V103" s="40">
        <f>IF($A103="","",IF($P103="","",IFERROR(INDEX('Opportunities'!$H$6:$H$205,MATCH($P103,'Opportunities'!$A$6:$A$205,0)),"")))</f>
        <v/>
      </c>
      <c r="W103" s="38">
        <f>IF($A103="","",IF($P103="","",IFERROR(INDEX('Opportunities'!$I$6:$I$205,MATCH($P103,'Opportunities'!$A$6:$A$205,0)),"")))</f>
        <v/>
      </c>
      <c r="X103" s="38">
        <f>IF($A103="","",IF($P103="","",IFERROR(INDEX('Opportunities'!$J$6:$J$205,MATCH($P103,'Opportunities'!$A$6:$A$205,0)),"")))</f>
        <v/>
      </c>
      <c r="Y103" s="70">
        <f>IF($A103="","",IF($P103="","",IFERROR(INDEX('Opportunities'!$K$6:$K$205,MATCH($P103,'Opportunities'!$A$6:$A$205,0)),"")))</f>
        <v/>
      </c>
      <c r="Z103" s="41">
        <f>IF($A103="","",IF($P103="","",IFERROR(INDEX('Opportunities'!$O$6:$O$205,MATCH($P103,'Opportunities'!$A$6:$A$205,0)),"")))</f>
        <v/>
      </c>
      <c r="AA103" s="41">
        <f>IF($A103="","",IF($P103="","",IFERROR(INDEX('Opportunities'!$P$6:$P$205,MATCH($P103,'Opportunities'!$A$6:$A$205,0)),"")))</f>
        <v/>
      </c>
      <c r="AB103" s="41">
        <f>IF($A103="","",IF($P103="","",IFERROR(INDEX('Opportunities'!$Q$6:$Q$205,MATCH($P103,'Opportunities'!$A$6:$A$205,0)),"")))</f>
        <v/>
      </c>
      <c r="AC103" s="71">
        <f>IF($A103="","",IF($P103="","",IFERROR(INDEX('Opportunities'!$Z$6:$Z$205,MATCH($P103,'Opportunities'!$A$6:$A$205,0)),"")))</f>
        <v/>
      </c>
      <c r="AD103" s="71">
        <f>IF($A103="","",IF($P103="","",IFERROR(INDEX('Opportunities'!$AJ$6:$AJ$205,MATCH($P103,'Opportunities'!$A$6:$A$205,0)),"")))</f>
        <v/>
      </c>
      <c r="AE103" s="72">
        <f>IF($A103="","",IF($P103="","",IFERROR(INDEX('Opportunities'!$AA$6:$AA$205,MATCH($P103,'Opportunities'!$A$6:$A$205,0)),"")))</f>
        <v/>
      </c>
      <c r="AF103" s="73">
        <f>IF($A103="","",IF($P103="","",IFERROR(INDEX('Opportunities'!$AF$6:$AF$205,MATCH($P103,'Opportunities'!$A$6:$A$205,0)),"")))</f>
        <v/>
      </c>
      <c r="AG103" s="41">
        <f>IF($A103="","",IF($P103="","",IFERROR(INDEX('Opportunities'!$AB$6:$AB$205,MATCH($P103,'Opportunities'!$A$6:$A$205,0)),"")))</f>
        <v/>
      </c>
      <c r="AH103" s="74">
        <f>IF($A103="","",IF($P103="","",IFERROR(($U103+$V103-$J103-$K103)*24,0)))</f>
        <v/>
      </c>
      <c r="AI103" s="38">
        <f>IF($A103="","",IF($P103="","No load selected",IF($AH103&lt;IFERROR($Z103/'Settings'!$B$11,0)+'Settings'!$B$12,"Too tight",IF($AH103&gt;'Settings'!$B$13,"Long wait","Feasible"))))</f>
        <v/>
      </c>
      <c r="AJ103" s="41">
        <f>IF($A103="","",IF($P103="","",$N103-$Z103-$AB103))</f>
        <v/>
      </c>
      <c r="AK103" s="38">
        <f>IF($A103="","",IF(COUNTIF($A$6:$A$205,$A103)&gt;1,"Duplicate Trip ID",IF($P103="","Open",IF(COUNTIF('Opportunities'!$A$6:$A$205,$P103)=0,"Load ID not found",IF(COUNTIFS('Opportunities'!$A$6:$A$205,$P103,'Opportunities'!$B$6:$B$205,$A103)=0,"Trip mismatch",IF(COUNTIF($P$6:$P$205,$P103)&gt;1,"Duplicate selection",IF(AND(OR($O103="Booked",$O103="Completed"),AND($Q103&lt;&gt;"Booked",$Q103&lt;&gt;"Completed")),"Status mismatch","OK")))))))</f>
        <v/>
      </c>
      <c r="AL103" s="46" t="n"/>
    </row>
    <row r="104">
      <c r="A104" s="34" t="n"/>
      <c r="B104" s="34" t="n"/>
      <c r="C104" s="34" t="n"/>
      <c r="D104" s="34" t="n"/>
      <c r="E104" s="34" t="n"/>
      <c r="F104" s="34" t="n"/>
      <c r="G104" s="34" t="n"/>
      <c r="H104" s="69" t="n"/>
      <c r="I104" s="36" t="n"/>
      <c r="J104" s="69" t="n"/>
      <c r="K104" s="36" t="n"/>
      <c r="L104" s="34" t="n"/>
      <c r="M104" s="34" t="n"/>
      <c r="N104" s="37" t="n"/>
      <c r="O104" s="34" t="n"/>
      <c r="P104" s="34" t="n"/>
      <c r="Q104" s="38">
        <f>IF($A104="","",IF($P104="","",IFERROR(INDEX('Opportunities'!$C$6:$C$205,MATCH($P104,'Opportunities'!$A$6:$A$205,0)),"")))</f>
        <v/>
      </c>
      <c r="R104" s="38">
        <f>IF($A104="","",IF($P104="","",IFERROR(INDEX('Opportunities'!$D$6:$D$205,MATCH($P104,'Opportunities'!$A$6:$A$205,0)),"")))</f>
        <v/>
      </c>
      <c r="S104" s="38">
        <f>IF($A104="","",IF($P104="","",IFERROR(INDEX('Opportunities'!$E$6:$E$205,MATCH($P104,'Opportunities'!$A$6:$A$205,0)),"")))</f>
        <v/>
      </c>
      <c r="T104" s="38">
        <f>IF($A104="","",IF($P104="","",IFERROR(INDEX('Opportunities'!$F$6:$F$205,MATCH($P104,'Opportunities'!$A$6:$A$205,0)),"")))</f>
        <v/>
      </c>
      <c r="U104" s="70">
        <f>IF($A104="","",IF($P104="","",IFERROR(INDEX('Opportunities'!$G$6:$G$205,MATCH($P104,'Opportunities'!$A$6:$A$205,0)),"")))</f>
        <v/>
      </c>
      <c r="V104" s="40">
        <f>IF($A104="","",IF($P104="","",IFERROR(INDEX('Opportunities'!$H$6:$H$205,MATCH($P104,'Opportunities'!$A$6:$A$205,0)),"")))</f>
        <v/>
      </c>
      <c r="W104" s="38">
        <f>IF($A104="","",IF($P104="","",IFERROR(INDEX('Opportunities'!$I$6:$I$205,MATCH($P104,'Opportunities'!$A$6:$A$205,0)),"")))</f>
        <v/>
      </c>
      <c r="X104" s="38">
        <f>IF($A104="","",IF($P104="","",IFERROR(INDEX('Opportunities'!$J$6:$J$205,MATCH($P104,'Opportunities'!$A$6:$A$205,0)),"")))</f>
        <v/>
      </c>
      <c r="Y104" s="70">
        <f>IF($A104="","",IF($P104="","",IFERROR(INDEX('Opportunities'!$K$6:$K$205,MATCH($P104,'Opportunities'!$A$6:$A$205,0)),"")))</f>
        <v/>
      </c>
      <c r="Z104" s="41">
        <f>IF($A104="","",IF($P104="","",IFERROR(INDEX('Opportunities'!$O$6:$O$205,MATCH($P104,'Opportunities'!$A$6:$A$205,0)),"")))</f>
        <v/>
      </c>
      <c r="AA104" s="41">
        <f>IF($A104="","",IF($P104="","",IFERROR(INDEX('Opportunities'!$P$6:$P$205,MATCH($P104,'Opportunities'!$A$6:$A$205,0)),"")))</f>
        <v/>
      </c>
      <c r="AB104" s="41">
        <f>IF($A104="","",IF($P104="","",IFERROR(INDEX('Opportunities'!$Q$6:$Q$205,MATCH($P104,'Opportunities'!$A$6:$A$205,0)),"")))</f>
        <v/>
      </c>
      <c r="AC104" s="71">
        <f>IF($A104="","",IF($P104="","",IFERROR(INDEX('Opportunities'!$Z$6:$Z$205,MATCH($P104,'Opportunities'!$A$6:$A$205,0)),"")))</f>
        <v/>
      </c>
      <c r="AD104" s="71">
        <f>IF($A104="","",IF($P104="","",IFERROR(INDEX('Opportunities'!$AJ$6:$AJ$205,MATCH($P104,'Opportunities'!$A$6:$A$205,0)),"")))</f>
        <v/>
      </c>
      <c r="AE104" s="72">
        <f>IF($A104="","",IF($P104="","",IFERROR(INDEX('Opportunities'!$AA$6:$AA$205,MATCH($P104,'Opportunities'!$A$6:$A$205,0)),"")))</f>
        <v/>
      </c>
      <c r="AF104" s="73">
        <f>IF($A104="","",IF($P104="","",IFERROR(INDEX('Opportunities'!$AF$6:$AF$205,MATCH($P104,'Opportunities'!$A$6:$A$205,0)),"")))</f>
        <v/>
      </c>
      <c r="AG104" s="41">
        <f>IF($A104="","",IF($P104="","",IFERROR(INDEX('Opportunities'!$AB$6:$AB$205,MATCH($P104,'Opportunities'!$A$6:$A$205,0)),"")))</f>
        <v/>
      </c>
      <c r="AH104" s="74">
        <f>IF($A104="","",IF($P104="","",IFERROR(($U104+$V104-$J104-$K104)*24,0)))</f>
        <v/>
      </c>
      <c r="AI104" s="38">
        <f>IF($A104="","",IF($P104="","No load selected",IF($AH104&lt;IFERROR($Z104/'Settings'!$B$11,0)+'Settings'!$B$12,"Too tight",IF($AH104&gt;'Settings'!$B$13,"Long wait","Feasible"))))</f>
        <v/>
      </c>
      <c r="AJ104" s="41">
        <f>IF($A104="","",IF($P104="","",$N104-$Z104-$AB104))</f>
        <v/>
      </c>
      <c r="AK104" s="38">
        <f>IF($A104="","",IF(COUNTIF($A$6:$A$205,$A104)&gt;1,"Duplicate Trip ID",IF($P104="","Open",IF(COUNTIF('Opportunities'!$A$6:$A$205,$P104)=0,"Load ID not found",IF(COUNTIFS('Opportunities'!$A$6:$A$205,$P104,'Opportunities'!$B$6:$B$205,$A104)=0,"Trip mismatch",IF(COUNTIF($P$6:$P$205,$P104)&gt;1,"Duplicate selection",IF(AND(OR($O104="Booked",$O104="Completed"),AND($Q104&lt;&gt;"Booked",$Q104&lt;&gt;"Completed")),"Status mismatch","OK")))))))</f>
        <v/>
      </c>
      <c r="AL104" s="46" t="n"/>
    </row>
    <row r="105">
      <c r="A105" s="34" t="n"/>
      <c r="B105" s="34" t="n"/>
      <c r="C105" s="34" t="n"/>
      <c r="D105" s="34" t="n"/>
      <c r="E105" s="34" t="n"/>
      <c r="F105" s="34" t="n"/>
      <c r="G105" s="34" t="n"/>
      <c r="H105" s="69" t="n"/>
      <c r="I105" s="36" t="n"/>
      <c r="J105" s="69" t="n"/>
      <c r="K105" s="36" t="n"/>
      <c r="L105" s="34" t="n"/>
      <c r="M105" s="34" t="n"/>
      <c r="N105" s="37" t="n"/>
      <c r="O105" s="34" t="n"/>
      <c r="P105" s="34" t="n"/>
      <c r="Q105" s="38">
        <f>IF($A105="","",IF($P105="","",IFERROR(INDEX('Opportunities'!$C$6:$C$205,MATCH($P105,'Opportunities'!$A$6:$A$205,0)),"")))</f>
        <v/>
      </c>
      <c r="R105" s="38">
        <f>IF($A105="","",IF($P105="","",IFERROR(INDEX('Opportunities'!$D$6:$D$205,MATCH($P105,'Opportunities'!$A$6:$A$205,0)),"")))</f>
        <v/>
      </c>
      <c r="S105" s="38">
        <f>IF($A105="","",IF($P105="","",IFERROR(INDEX('Opportunities'!$E$6:$E$205,MATCH($P105,'Opportunities'!$A$6:$A$205,0)),"")))</f>
        <v/>
      </c>
      <c r="T105" s="38">
        <f>IF($A105="","",IF($P105="","",IFERROR(INDEX('Opportunities'!$F$6:$F$205,MATCH($P105,'Opportunities'!$A$6:$A$205,0)),"")))</f>
        <v/>
      </c>
      <c r="U105" s="70">
        <f>IF($A105="","",IF($P105="","",IFERROR(INDEX('Opportunities'!$G$6:$G$205,MATCH($P105,'Opportunities'!$A$6:$A$205,0)),"")))</f>
        <v/>
      </c>
      <c r="V105" s="40">
        <f>IF($A105="","",IF($P105="","",IFERROR(INDEX('Opportunities'!$H$6:$H$205,MATCH($P105,'Opportunities'!$A$6:$A$205,0)),"")))</f>
        <v/>
      </c>
      <c r="W105" s="38">
        <f>IF($A105="","",IF($P105="","",IFERROR(INDEX('Opportunities'!$I$6:$I$205,MATCH($P105,'Opportunities'!$A$6:$A$205,0)),"")))</f>
        <v/>
      </c>
      <c r="X105" s="38">
        <f>IF($A105="","",IF($P105="","",IFERROR(INDEX('Opportunities'!$J$6:$J$205,MATCH($P105,'Opportunities'!$A$6:$A$205,0)),"")))</f>
        <v/>
      </c>
      <c r="Y105" s="70">
        <f>IF($A105="","",IF($P105="","",IFERROR(INDEX('Opportunities'!$K$6:$K$205,MATCH($P105,'Opportunities'!$A$6:$A$205,0)),"")))</f>
        <v/>
      </c>
      <c r="Z105" s="41">
        <f>IF($A105="","",IF($P105="","",IFERROR(INDEX('Opportunities'!$O$6:$O$205,MATCH($P105,'Opportunities'!$A$6:$A$205,0)),"")))</f>
        <v/>
      </c>
      <c r="AA105" s="41">
        <f>IF($A105="","",IF($P105="","",IFERROR(INDEX('Opportunities'!$P$6:$P$205,MATCH($P105,'Opportunities'!$A$6:$A$205,0)),"")))</f>
        <v/>
      </c>
      <c r="AB105" s="41">
        <f>IF($A105="","",IF($P105="","",IFERROR(INDEX('Opportunities'!$Q$6:$Q$205,MATCH($P105,'Opportunities'!$A$6:$A$205,0)),"")))</f>
        <v/>
      </c>
      <c r="AC105" s="71">
        <f>IF($A105="","",IF($P105="","",IFERROR(INDEX('Opportunities'!$Z$6:$Z$205,MATCH($P105,'Opportunities'!$A$6:$A$205,0)),"")))</f>
        <v/>
      </c>
      <c r="AD105" s="71">
        <f>IF($A105="","",IF($P105="","",IFERROR(INDEX('Opportunities'!$AJ$6:$AJ$205,MATCH($P105,'Opportunities'!$A$6:$A$205,0)),"")))</f>
        <v/>
      </c>
      <c r="AE105" s="72">
        <f>IF($A105="","",IF($P105="","",IFERROR(INDEX('Opportunities'!$AA$6:$AA$205,MATCH($P105,'Opportunities'!$A$6:$A$205,0)),"")))</f>
        <v/>
      </c>
      <c r="AF105" s="73">
        <f>IF($A105="","",IF($P105="","",IFERROR(INDEX('Opportunities'!$AF$6:$AF$205,MATCH($P105,'Opportunities'!$A$6:$A$205,0)),"")))</f>
        <v/>
      </c>
      <c r="AG105" s="41">
        <f>IF($A105="","",IF($P105="","",IFERROR(INDEX('Opportunities'!$AB$6:$AB$205,MATCH($P105,'Opportunities'!$A$6:$A$205,0)),"")))</f>
        <v/>
      </c>
      <c r="AH105" s="74">
        <f>IF($A105="","",IF($P105="","",IFERROR(($U105+$V105-$J105-$K105)*24,0)))</f>
        <v/>
      </c>
      <c r="AI105" s="38">
        <f>IF($A105="","",IF($P105="","No load selected",IF($AH105&lt;IFERROR($Z105/'Settings'!$B$11,0)+'Settings'!$B$12,"Too tight",IF($AH105&gt;'Settings'!$B$13,"Long wait","Feasible"))))</f>
        <v/>
      </c>
      <c r="AJ105" s="41">
        <f>IF($A105="","",IF($P105="","",$N105-$Z105-$AB105))</f>
        <v/>
      </c>
      <c r="AK105" s="38">
        <f>IF($A105="","",IF(COUNTIF($A$6:$A$205,$A105)&gt;1,"Duplicate Trip ID",IF($P105="","Open",IF(COUNTIF('Opportunities'!$A$6:$A$205,$P105)=0,"Load ID not found",IF(COUNTIFS('Opportunities'!$A$6:$A$205,$P105,'Opportunities'!$B$6:$B$205,$A105)=0,"Trip mismatch",IF(COUNTIF($P$6:$P$205,$P105)&gt;1,"Duplicate selection",IF(AND(OR($O105="Booked",$O105="Completed"),AND($Q105&lt;&gt;"Booked",$Q105&lt;&gt;"Completed")),"Status mismatch","OK")))))))</f>
        <v/>
      </c>
      <c r="AL105" s="46" t="n"/>
    </row>
    <row r="106">
      <c r="A106" s="34" t="n"/>
      <c r="B106" s="34" t="n"/>
      <c r="C106" s="34" t="n"/>
      <c r="D106" s="34" t="n"/>
      <c r="E106" s="34" t="n"/>
      <c r="F106" s="34" t="n"/>
      <c r="G106" s="34" t="n"/>
      <c r="H106" s="69" t="n"/>
      <c r="I106" s="36" t="n"/>
      <c r="J106" s="69" t="n"/>
      <c r="K106" s="36" t="n"/>
      <c r="L106" s="34" t="n"/>
      <c r="M106" s="34" t="n"/>
      <c r="N106" s="37" t="n"/>
      <c r="O106" s="34" t="n"/>
      <c r="P106" s="34" t="n"/>
      <c r="Q106" s="38">
        <f>IF($A106="","",IF($P106="","",IFERROR(INDEX('Opportunities'!$C$6:$C$205,MATCH($P106,'Opportunities'!$A$6:$A$205,0)),"")))</f>
        <v/>
      </c>
      <c r="R106" s="38">
        <f>IF($A106="","",IF($P106="","",IFERROR(INDEX('Opportunities'!$D$6:$D$205,MATCH($P106,'Opportunities'!$A$6:$A$205,0)),"")))</f>
        <v/>
      </c>
      <c r="S106" s="38">
        <f>IF($A106="","",IF($P106="","",IFERROR(INDEX('Opportunities'!$E$6:$E$205,MATCH($P106,'Opportunities'!$A$6:$A$205,0)),"")))</f>
        <v/>
      </c>
      <c r="T106" s="38">
        <f>IF($A106="","",IF($P106="","",IFERROR(INDEX('Opportunities'!$F$6:$F$205,MATCH($P106,'Opportunities'!$A$6:$A$205,0)),"")))</f>
        <v/>
      </c>
      <c r="U106" s="70">
        <f>IF($A106="","",IF($P106="","",IFERROR(INDEX('Opportunities'!$G$6:$G$205,MATCH($P106,'Opportunities'!$A$6:$A$205,0)),"")))</f>
        <v/>
      </c>
      <c r="V106" s="40">
        <f>IF($A106="","",IF($P106="","",IFERROR(INDEX('Opportunities'!$H$6:$H$205,MATCH($P106,'Opportunities'!$A$6:$A$205,0)),"")))</f>
        <v/>
      </c>
      <c r="W106" s="38">
        <f>IF($A106="","",IF($P106="","",IFERROR(INDEX('Opportunities'!$I$6:$I$205,MATCH($P106,'Opportunities'!$A$6:$A$205,0)),"")))</f>
        <v/>
      </c>
      <c r="X106" s="38">
        <f>IF($A106="","",IF($P106="","",IFERROR(INDEX('Opportunities'!$J$6:$J$205,MATCH($P106,'Opportunities'!$A$6:$A$205,0)),"")))</f>
        <v/>
      </c>
      <c r="Y106" s="70">
        <f>IF($A106="","",IF($P106="","",IFERROR(INDEX('Opportunities'!$K$6:$K$205,MATCH($P106,'Opportunities'!$A$6:$A$205,0)),"")))</f>
        <v/>
      </c>
      <c r="Z106" s="41">
        <f>IF($A106="","",IF($P106="","",IFERROR(INDEX('Opportunities'!$O$6:$O$205,MATCH($P106,'Opportunities'!$A$6:$A$205,0)),"")))</f>
        <v/>
      </c>
      <c r="AA106" s="41">
        <f>IF($A106="","",IF($P106="","",IFERROR(INDEX('Opportunities'!$P$6:$P$205,MATCH($P106,'Opportunities'!$A$6:$A$205,0)),"")))</f>
        <v/>
      </c>
      <c r="AB106" s="41">
        <f>IF($A106="","",IF($P106="","",IFERROR(INDEX('Opportunities'!$Q$6:$Q$205,MATCH($P106,'Opportunities'!$A$6:$A$205,0)),"")))</f>
        <v/>
      </c>
      <c r="AC106" s="71">
        <f>IF($A106="","",IF($P106="","",IFERROR(INDEX('Opportunities'!$Z$6:$Z$205,MATCH($P106,'Opportunities'!$A$6:$A$205,0)),"")))</f>
        <v/>
      </c>
      <c r="AD106" s="71">
        <f>IF($A106="","",IF($P106="","",IFERROR(INDEX('Opportunities'!$AJ$6:$AJ$205,MATCH($P106,'Opportunities'!$A$6:$A$205,0)),"")))</f>
        <v/>
      </c>
      <c r="AE106" s="72">
        <f>IF($A106="","",IF($P106="","",IFERROR(INDEX('Opportunities'!$AA$6:$AA$205,MATCH($P106,'Opportunities'!$A$6:$A$205,0)),"")))</f>
        <v/>
      </c>
      <c r="AF106" s="73">
        <f>IF($A106="","",IF($P106="","",IFERROR(INDEX('Opportunities'!$AF$6:$AF$205,MATCH($P106,'Opportunities'!$A$6:$A$205,0)),"")))</f>
        <v/>
      </c>
      <c r="AG106" s="41">
        <f>IF($A106="","",IF($P106="","",IFERROR(INDEX('Opportunities'!$AB$6:$AB$205,MATCH($P106,'Opportunities'!$A$6:$A$205,0)),"")))</f>
        <v/>
      </c>
      <c r="AH106" s="74">
        <f>IF($A106="","",IF($P106="","",IFERROR(($U106+$V106-$J106-$K106)*24,0)))</f>
        <v/>
      </c>
      <c r="AI106" s="38">
        <f>IF($A106="","",IF($P106="","No load selected",IF($AH106&lt;IFERROR($Z106/'Settings'!$B$11,0)+'Settings'!$B$12,"Too tight",IF($AH106&gt;'Settings'!$B$13,"Long wait","Feasible"))))</f>
        <v/>
      </c>
      <c r="AJ106" s="41">
        <f>IF($A106="","",IF($P106="","",$N106-$Z106-$AB106))</f>
        <v/>
      </c>
      <c r="AK106" s="38">
        <f>IF($A106="","",IF(COUNTIF($A$6:$A$205,$A106)&gt;1,"Duplicate Trip ID",IF($P106="","Open",IF(COUNTIF('Opportunities'!$A$6:$A$205,$P106)=0,"Load ID not found",IF(COUNTIFS('Opportunities'!$A$6:$A$205,$P106,'Opportunities'!$B$6:$B$205,$A106)=0,"Trip mismatch",IF(COUNTIF($P$6:$P$205,$P106)&gt;1,"Duplicate selection",IF(AND(OR($O106="Booked",$O106="Completed"),AND($Q106&lt;&gt;"Booked",$Q106&lt;&gt;"Completed")),"Status mismatch","OK")))))))</f>
        <v/>
      </c>
      <c r="AL106" s="46" t="n"/>
    </row>
    <row r="107">
      <c r="A107" s="34" t="n"/>
      <c r="B107" s="34" t="n"/>
      <c r="C107" s="34" t="n"/>
      <c r="D107" s="34" t="n"/>
      <c r="E107" s="34" t="n"/>
      <c r="F107" s="34" t="n"/>
      <c r="G107" s="34" t="n"/>
      <c r="H107" s="69" t="n"/>
      <c r="I107" s="36" t="n"/>
      <c r="J107" s="69" t="n"/>
      <c r="K107" s="36" t="n"/>
      <c r="L107" s="34" t="n"/>
      <c r="M107" s="34" t="n"/>
      <c r="N107" s="37" t="n"/>
      <c r="O107" s="34" t="n"/>
      <c r="P107" s="34" t="n"/>
      <c r="Q107" s="38">
        <f>IF($A107="","",IF($P107="","",IFERROR(INDEX('Opportunities'!$C$6:$C$205,MATCH($P107,'Opportunities'!$A$6:$A$205,0)),"")))</f>
        <v/>
      </c>
      <c r="R107" s="38">
        <f>IF($A107="","",IF($P107="","",IFERROR(INDEX('Opportunities'!$D$6:$D$205,MATCH($P107,'Opportunities'!$A$6:$A$205,0)),"")))</f>
        <v/>
      </c>
      <c r="S107" s="38">
        <f>IF($A107="","",IF($P107="","",IFERROR(INDEX('Opportunities'!$E$6:$E$205,MATCH($P107,'Opportunities'!$A$6:$A$205,0)),"")))</f>
        <v/>
      </c>
      <c r="T107" s="38">
        <f>IF($A107="","",IF($P107="","",IFERROR(INDEX('Opportunities'!$F$6:$F$205,MATCH($P107,'Opportunities'!$A$6:$A$205,0)),"")))</f>
        <v/>
      </c>
      <c r="U107" s="70">
        <f>IF($A107="","",IF($P107="","",IFERROR(INDEX('Opportunities'!$G$6:$G$205,MATCH($P107,'Opportunities'!$A$6:$A$205,0)),"")))</f>
        <v/>
      </c>
      <c r="V107" s="40">
        <f>IF($A107="","",IF($P107="","",IFERROR(INDEX('Opportunities'!$H$6:$H$205,MATCH($P107,'Opportunities'!$A$6:$A$205,0)),"")))</f>
        <v/>
      </c>
      <c r="W107" s="38">
        <f>IF($A107="","",IF($P107="","",IFERROR(INDEX('Opportunities'!$I$6:$I$205,MATCH($P107,'Opportunities'!$A$6:$A$205,0)),"")))</f>
        <v/>
      </c>
      <c r="X107" s="38">
        <f>IF($A107="","",IF($P107="","",IFERROR(INDEX('Opportunities'!$J$6:$J$205,MATCH($P107,'Opportunities'!$A$6:$A$205,0)),"")))</f>
        <v/>
      </c>
      <c r="Y107" s="70">
        <f>IF($A107="","",IF($P107="","",IFERROR(INDEX('Opportunities'!$K$6:$K$205,MATCH($P107,'Opportunities'!$A$6:$A$205,0)),"")))</f>
        <v/>
      </c>
      <c r="Z107" s="41">
        <f>IF($A107="","",IF($P107="","",IFERROR(INDEX('Opportunities'!$O$6:$O$205,MATCH($P107,'Opportunities'!$A$6:$A$205,0)),"")))</f>
        <v/>
      </c>
      <c r="AA107" s="41">
        <f>IF($A107="","",IF($P107="","",IFERROR(INDEX('Opportunities'!$P$6:$P$205,MATCH($P107,'Opportunities'!$A$6:$A$205,0)),"")))</f>
        <v/>
      </c>
      <c r="AB107" s="41">
        <f>IF($A107="","",IF($P107="","",IFERROR(INDEX('Opportunities'!$Q$6:$Q$205,MATCH($P107,'Opportunities'!$A$6:$A$205,0)),"")))</f>
        <v/>
      </c>
      <c r="AC107" s="71">
        <f>IF($A107="","",IF($P107="","",IFERROR(INDEX('Opportunities'!$Z$6:$Z$205,MATCH($P107,'Opportunities'!$A$6:$A$205,0)),"")))</f>
        <v/>
      </c>
      <c r="AD107" s="71">
        <f>IF($A107="","",IF($P107="","",IFERROR(INDEX('Opportunities'!$AJ$6:$AJ$205,MATCH($P107,'Opportunities'!$A$6:$A$205,0)),"")))</f>
        <v/>
      </c>
      <c r="AE107" s="72">
        <f>IF($A107="","",IF($P107="","",IFERROR(INDEX('Opportunities'!$AA$6:$AA$205,MATCH($P107,'Opportunities'!$A$6:$A$205,0)),"")))</f>
        <v/>
      </c>
      <c r="AF107" s="73">
        <f>IF($A107="","",IF($P107="","",IFERROR(INDEX('Opportunities'!$AF$6:$AF$205,MATCH($P107,'Opportunities'!$A$6:$A$205,0)),"")))</f>
        <v/>
      </c>
      <c r="AG107" s="41">
        <f>IF($A107="","",IF($P107="","",IFERROR(INDEX('Opportunities'!$AB$6:$AB$205,MATCH($P107,'Opportunities'!$A$6:$A$205,0)),"")))</f>
        <v/>
      </c>
      <c r="AH107" s="74">
        <f>IF($A107="","",IF($P107="","",IFERROR(($U107+$V107-$J107-$K107)*24,0)))</f>
        <v/>
      </c>
      <c r="AI107" s="38">
        <f>IF($A107="","",IF($P107="","No load selected",IF($AH107&lt;IFERROR($Z107/'Settings'!$B$11,0)+'Settings'!$B$12,"Too tight",IF($AH107&gt;'Settings'!$B$13,"Long wait","Feasible"))))</f>
        <v/>
      </c>
      <c r="AJ107" s="41">
        <f>IF($A107="","",IF($P107="","",$N107-$Z107-$AB107))</f>
        <v/>
      </c>
      <c r="AK107" s="38">
        <f>IF($A107="","",IF(COUNTIF($A$6:$A$205,$A107)&gt;1,"Duplicate Trip ID",IF($P107="","Open",IF(COUNTIF('Opportunities'!$A$6:$A$205,$P107)=0,"Load ID not found",IF(COUNTIFS('Opportunities'!$A$6:$A$205,$P107,'Opportunities'!$B$6:$B$205,$A107)=0,"Trip mismatch",IF(COUNTIF($P$6:$P$205,$P107)&gt;1,"Duplicate selection",IF(AND(OR($O107="Booked",$O107="Completed"),AND($Q107&lt;&gt;"Booked",$Q107&lt;&gt;"Completed")),"Status mismatch","OK")))))))</f>
        <v/>
      </c>
      <c r="AL107" s="46" t="n"/>
    </row>
    <row r="108">
      <c r="A108" s="34" t="n"/>
      <c r="B108" s="34" t="n"/>
      <c r="C108" s="34" t="n"/>
      <c r="D108" s="34" t="n"/>
      <c r="E108" s="34" t="n"/>
      <c r="F108" s="34" t="n"/>
      <c r="G108" s="34" t="n"/>
      <c r="H108" s="69" t="n"/>
      <c r="I108" s="36" t="n"/>
      <c r="J108" s="69" t="n"/>
      <c r="K108" s="36" t="n"/>
      <c r="L108" s="34" t="n"/>
      <c r="M108" s="34" t="n"/>
      <c r="N108" s="37" t="n"/>
      <c r="O108" s="34" t="n"/>
      <c r="P108" s="34" t="n"/>
      <c r="Q108" s="38">
        <f>IF($A108="","",IF($P108="","",IFERROR(INDEX('Opportunities'!$C$6:$C$205,MATCH($P108,'Opportunities'!$A$6:$A$205,0)),"")))</f>
        <v/>
      </c>
      <c r="R108" s="38">
        <f>IF($A108="","",IF($P108="","",IFERROR(INDEX('Opportunities'!$D$6:$D$205,MATCH($P108,'Opportunities'!$A$6:$A$205,0)),"")))</f>
        <v/>
      </c>
      <c r="S108" s="38">
        <f>IF($A108="","",IF($P108="","",IFERROR(INDEX('Opportunities'!$E$6:$E$205,MATCH($P108,'Opportunities'!$A$6:$A$205,0)),"")))</f>
        <v/>
      </c>
      <c r="T108" s="38">
        <f>IF($A108="","",IF($P108="","",IFERROR(INDEX('Opportunities'!$F$6:$F$205,MATCH($P108,'Opportunities'!$A$6:$A$205,0)),"")))</f>
        <v/>
      </c>
      <c r="U108" s="70">
        <f>IF($A108="","",IF($P108="","",IFERROR(INDEX('Opportunities'!$G$6:$G$205,MATCH($P108,'Opportunities'!$A$6:$A$205,0)),"")))</f>
        <v/>
      </c>
      <c r="V108" s="40">
        <f>IF($A108="","",IF($P108="","",IFERROR(INDEX('Opportunities'!$H$6:$H$205,MATCH($P108,'Opportunities'!$A$6:$A$205,0)),"")))</f>
        <v/>
      </c>
      <c r="W108" s="38">
        <f>IF($A108="","",IF($P108="","",IFERROR(INDEX('Opportunities'!$I$6:$I$205,MATCH($P108,'Opportunities'!$A$6:$A$205,0)),"")))</f>
        <v/>
      </c>
      <c r="X108" s="38">
        <f>IF($A108="","",IF($P108="","",IFERROR(INDEX('Opportunities'!$J$6:$J$205,MATCH($P108,'Opportunities'!$A$6:$A$205,0)),"")))</f>
        <v/>
      </c>
      <c r="Y108" s="70">
        <f>IF($A108="","",IF($P108="","",IFERROR(INDEX('Opportunities'!$K$6:$K$205,MATCH($P108,'Opportunities'!$A$6:$A$205,0)),"")))</f>
        <v/>
      </c>
      <c r="Z108" s="41">
        <f>IF($A108="","",IF($P108="","",IFERROR(INDEX('Opportunities'!$O$6:$O$205,MATCH($P108,'Opportunities'!$A$6:$A$205,0)),"")))</f>
        <v/>
      </c>
      <c r="AA108" s="41">
        <f>IF($A108="","",IF($P108="","",IFERROR(INDEX('Opportunities'!$P$6:$P$205,MATCH($P108,'Opportunities'!$A$6:$A$205,0)),"")))</f>
        <v/>
      </c>
      <c r="AB108" s="41">
        <f>IF($A108="","",IF($P108="","",IFERROR(INDEX('Opportunities'!$Q$6:$Q$205,MATCH($P108,'Opportunities'!$A$6:$A$205,0)),"")))</f>
        <v/>
      </c>
      <c r="AC108" s="71">
        <f>IF($A108="","",IF($P108="","",IFERROR(INDEX('Opportunities'!$Z$6:$Z$205,MATCH($P108,'Opportunities'!$A$6:$A$205,0)),"")))</f>
        <v/>
      </c>
      <c r="AD108" s="71">
        <f>IF($A108="","",IF($P108="","",IFERROR(INDEX('Opportunities'!$AJ$6:$AJ$205,MATCH($P108,'Opportunities'!$A$6:$A$205,0)),"")))</f>
        <v/>
      </c>
      <c r="AE108" s="72">
        <f>IF($A108="","",IF($P108="","",IFERROR(INDEX('Opportunities'!$AA$6:$AA$205,MATCH($P108,'Opportunities'!$A$6:$A$205,0)),"")))</f>
        <v/>
      </c>
      <c r="AF108" s="73">
        <f>IF($A108="","",IF($P108="","",IFERROR(INDEX('Opportunities'!$AF$6:$AF$205,MATCH($P108,'Opportunities'!$A$6:$A$205,0)),"")))</f>
        <v/>
      </c>
      <c r="AG108" s="41">
        <f>IF($A108="","",IF($P108="","",IFERROR(INDEX('Opportunities'!$AB$6:$AB$205,MATCH($P108,'Opportunities'!$A$6:$A$205,0)),"")))</f>
        <v/>
      </c>
      <c r="AH108" s="74">
        <f>IF($A108="","",IF($P108="","",IFERROR(($U108+$V108-$J108-$K108)*24,0)))</f>
        <v/>
      </c>
      <c r="AI108" s="38">
        <f>IF($A108="","",IF($P108="","No load selected",IF($AH108&lt;IFERROR($Z108/'Settings'!$B$11,0)+'Settings'!$B$12,"Too tight",IF($AH108&gt;'Settings'!$B$13,"Long wait","Feasible"))))</f>
        <v/>
      </c>
      <c r="AJ108" s="41">
        <f>IF($A108="","",IF($P108="","",$N108-$Z108-$AB108))</f>
        <v/>
      </c>
      <c r="AK108" s="38">
        <f>IF($A108="","",IF(COUNTIF($A$6:$A$205,$A108)&gt;1,"Duplicate Trip ID",IF($P108="","Open",IF(COUNTIF('Opportunities'!$A$6:$A$205,$P108)=0,"Load ID not found",IF(COUNTIFS('Opportunities'!$A$6:$A$205,$P108,'Opportunities'!$B$6:$B$205,$A108)=0,"Trip mismatch",IF(COUNTIF($P$6:$P$205,$P108)&gt;1,"Duplicate selection",IF(AND(OR($O108="Booked",$O108="Completed"),AND($Q108&lt;&gt;"Booked",$Q108&lt;&gt;"Completed")),"Status mismatch","OK")))))))</f>
        <v/>
      </c>
      <c r="AL108" s="46" t="n"/>
    </row>
    <row r="109">
      <c r="A109" s="34" t="n"/>
      <c r="B109" s="34" t="n"/>
      <c r="C109" s="34" t="n"/>
      <c r="D109" s="34" t="n"/>
      <c r="E109" s="34" t="n"/>
      <c r="F109" s="34" t="n"/>
      <c r="G109" s="34" t="n"/>
      <c r="H109" s="69" t="n"/>
      <c r="I109" s="36" t="n"/>
      <c r="J109" s="69" t="n"/>
      <c r="K109" s="36" t="n"/>
      <c r="L109" s="34" t="n"/>
      <c r="M109" s="34" t="n"/>
      <c r="N109" s="37" t="n"/>
      <c r="O109" s="34" t="n"/>
      <c r="P109" s="34" t="n"/>
      <c r="Q109" s="38">
        <f>IF($A109="","",IF($P109="","",IFERROR(INDEX('Opportunities'!$C$6:$C$205,MATCH($P109,'Opportunities'!$A$6:$A$205,0)),"")))</f>
        <v/>
      </c>
      <c r="R109" s="38">
        <f>IF($A109="","",IF($P109="","",IFERROR(INDEX('Opportunities'!$D$6:$D$205,MATCH($P109,'Opportunities'!$A$6:$A$205,0)),"")))</f>
        <v/>
      </c>
      <c r="S109" s="38">
        <f>IF($A109="","",IF($P109="","",IFERROR(INDEX('Opportunities'!$E$6:$E$205,MATCH($P109,'Opportunities'!$A$6:$A$205,0)),"")))</f>
        <v/>
      </c>
      <c r="T109" s="38">
        <f>IF($A109="","",IF($P109="","",IFERROR(INDEX('Opportunities'!$F$6:$F$205,MATCH($P109,'Opportunities'!$A$6:$A$205,0)),"")))</f>
        <v/>
      </c>
      <c r="U109" s="70">
        <f>IF($A109="","",IF($P109="","",IFERROR(INDEX('Opportunities'!$G$6:$G$205,MATCH($P109,'Opportunities'!$A$6:$A$205,0)),"")))</f>
        <v/>
      </c>
      <c r="V109" s="40">
        <f>IF($A109="","",IF($P109="","",IFERROR(INDEX('Opportunities'!$H$6:$H$205,MATCH($P109,'Opportunities'!$A$6:$A$205,0)),"")))</f>
        <v/>
      </c>
      <c r="W109" s="38">
        <f>IF($A109="","",IF($P109="","",IFERROR(INDEX('Opportunities'!$I$6:$I$205,MATCH($P109,'Opportunities'!$A$6:$A$205,0)),"")))</f>
        <v/>
      </c>
      <c r="X109" s="38">
        <f>IF($A109="","",IF($P109="","",IFERROR(INDEX('Opportunities'!$J$6:$J$205,MATCH($P109,'Opportunities'!$A$6:$A$205,0)),"")))</f>
        <v/>
      </c>
      <c r="Y109" s="70">
        <f>IF($A109="","",IF($P109="","",IFERROR(INDEX('Opportunities'!$K$6:$K$205,MATCH($P109,'Opportunities'!$A$6:$A$205,0)),"")))</f>
        <v/>
      </c>
      <c r="Z109" s="41">
        <f>IF($A109="","",IF($P109="","",IFERROR(INDEX('Opportunities'!$O$6:$O$205,MATCH($P109,'Opportunities'!$A$6:$A$205,0)),"")))</f>
        <v/>
      </c>
      <c r="AA109" s="41">
        <f>IF($A109="","",IF($P109="","",IFERROR(INDEX('Opportunities'!$P$6:$P$205,MATCH($P109,'Opportunities'!$A$6:$A$205,0)),"")))</f>
        <v/>
      </c>
      <c r="AB109" s="41">
        <f>IF($A109="","",IF($P109="","",IFERROR(INDEX('Opportunities'!$Q$6:$Q$205,MATCH($P109,'Opportunities'!$A$6:$A$205,0)),"")))</f>
        <v/>
      </c>
      <c r="AC109" s="71">
        <f>IF($A109="","",IF($P109="","",IFERROR(INDEX('Opportunities'!$Z$6:$Z$205,MATCH($P109,'Opportunities'!$A$6:$A$205,0)),"")))</f>
        <v/>
      </c>
      <c r="AD109" s="71">
        <f>IF($A109="","",IF($P109="","",IFERROR(INDEX('Opportunities'!$AJ$6:$AJ$205,MATCH($P109,'Opportunities'!$A$6:$A$205,0)),"")))</f>
        <v/>
      </c>
      <c r="AE109" s="72">
        <f>IF($A109="","",IF($P109="","",IFERROR(INDEX('Opportunities'!$AA$6:$AA$205,MATCH($P109,'Opportunities'!$A$6:$A$205,0)),"")))</f>
        <v/>
      </c>
      <c r="AF109" s="73">
        <f>IF($A109="","",IF($P109="","",IFERROR(INDEX('Opportunities'!$AF$6:$AF$205,MATCH($P109,'Opportunities'!$A$6:$A$205,0)),"")))</f>
        <v/>
      </c>
      <c r="AG109" s="41">
        <f>IF($A109="","",IF($P109="","",IFERROR(INDEX('Opportunities'!$AB$6:$AB$205,MATCH($P109,'Opportunities'!$A$6:$A$205,0)),"")))</f>
        <v/>
      </c>
      <c r="AH109" s="74">
        <f>IF($A109="","",IF($P109="","",IFERROR(($U109+$V109-$J109-$K109)*24,0)))</f>
        <v/>
      </c>
      <c r="AI109" s="38">
        <f>IF($A109="","",IF($P109="","No load selected",IF($AH109&lt;IFERROR($Z109/'Settings'!$B$11,0)+'Settings'!$B$12,"Too tight",IF($AH109&gt;'Settings'!$B$13,"Long wait","Feasible"))))</f>
        <v/>
      </c>
      <c r="AJ109" s="41">
        <f>IF($A109="","",IF($P109="","",$N109-$Z109-$AB109))</f>
        <v/>
      </c>
      <c r="AK109" s="38">
        <f>IF($A109="","",IF(COUNTIF($A$6:$A$205,$A109)&gt;1,"Duplicate Trip ID",IF($P109="","Open",IF(COUNTIF('Opportunities'!$A$6:$A$205,$P109)=0,"Load ID not found",IF(COUNTIFS('Opportunities'!$A$6:$A$205,$P109,'Opportunities'!$B$6:$B$205,$A109)=0,"Trip mismatch",IF(COUNTIF($P$6:$P$205,$P109)&gt;1,"Duplicate selection",IF(AND(OR($O109="Booked",$O109="Completed"),AND($Q109&lt;&gt;"Booked",$Q109&lt;&gt;"Completed")),"Status mismatch","OK")))))))</f>
        <v/>
      </c>
      <c r="AL109" s="46" t="n"/>
    </row>
    <row r="110">
      <c r="A110" s="34" t="n"/>
      <c r="B110" s="34" t="n"/>
      <c r="C110" s="34" t="n"/>
      <c r="D110" s="34" t="n"/>
      <c r="E110" s="34" t="n"/>
      <c r="F110" s="34" t="n"/>
      <c r="G110" s="34" t="n"/>
      <c r="H110" s="69" t="n"/>
      <c r="I110" s="36" t="n"/>
      <c r="J110" s="69" t="n"/>
      <c r="K110" s="36" t="n"/>
      <c r="L110" s="34" t="n"/>
      <c r="M110" s="34" t="n"/>
      <c r="N110" s="37" t="n"/>
      <c r="O110" s="34" t="n"/>
      <c r="P110" s="34" t="n"/>
      <c r="Q110" s="38">
        <f>IF($A110="","",IF($P110="","",IFERROR(INDEX('Opportunities'!$C$6:$C$205,MATCH($P110,'Opportunities'!$A$6:$A$205,0)),"")))</f>
        <v/>
      </c>
      <c r="R110" s="38">
        <f>IF($A110="","",IF($P110="","",IFERROR(INDEX('Opportunities'!$D$6:$D$205,MATCH($P110,'Opportunities'!$A$6:$A$205,0)),"")))</f>
        <v/>
      </c>
      <c r="S110" s="38">
        <f>IF($A110="","",IF($P110="","",IFERROR(INDEX('Opportunities'!$E$6:$E$205,MATCH($P110,'Opportunities'!$A$6:$A$205,0)),"")))</f>
        <v/>
      </c>
      <c r="T110" s="38">
        <f>IF($A110="","",IF($P110="","",IFERROR(INDEX('Opportunities'!$F$6:$F$205,MATCH($P110,'Opportunities'!$A$6:$A$205,0)),"")))</f>
        <v/>
      </c>
      <c r="U110" s="70">
        <f>IF($A110="","",IF($P110="","",IFERROR(INDEX('Opportunities'!$G$6:$G$205,MATCH($P110,'Opportunities'!$A$6:$A$205,0)),"")))</f>
        <v/>
      </c>
      <c r="V110" s="40">
        <f>IF($A110="","",IF($P110="","",IFERROR(INDEX('Opportunities'!$H$6:$H$205,MATCH($P110,'Opportunities'!$A$6:$A$205,0)),"")))</f>
        <v/>
      </c>
      <c r="W110" s="38">
        <f>IF($A110="","",IF($P110="","",IFERROR(INDEX('Opportunities'!$I$6:$I$205,MATCH($P110,'Opportunities'!$A$6:$A$205,0)),"")))</f>
        <v/>
      </c>
      <c r="X110" s="38">
        <f>IF($A110="","",IF($P110="","",IFERROR(INDEX('Opportunities'!$J$6:$J$205,MATCH($P110,'Opportunities'!$A$6:$A$205,0)),"")))</f>
        <v/>
      </c>
      <c r="Y110" s="70">
        <f>IF($A110="","",IF($P110="","",IFERROR(INDEX('Opportunities'!$K$6:$K$205,MATCH($P110,'Opportunities'!$A$6:$A$205,0)),"")))</f>
        <v/>
      </c>
      <c r="Z110" s="41">
        <f>IF($A110="","",IF($P110="","",IFERROR(INDEX('Opportunities'!$O$6:$O$205,MATCH($P110,'Opportunities'!$A$6:$A$205,0)),"")))</f>
        <v/>
      </c>
      <c r="AA110" s="41">
        <f>IF($A110="","",IF($P110="","",IFERROR(INDEX('Opportunities'!$P$6:$P$205,MATCH($P110,'Opportunities'!$A$6:$A$205,0)),"")))</f>
        <v/>
      </c>
      <c r="AB110" s="41">
        <f>IF($A110="","",IF($P110="","",IFERROR(INDEX('Opportunities'!$Q$6:$Q$205,MATCH($P110,'Opportunities'!$A$6:$A$205,0)),"")))</f>
        <v/>
      </c>
      <c r="AC110" s="71">
        <f>IF($A110="","",IF($P110="","",IFERROR(INDEX('Opportunities'!$Z$6:$Z$205,MATCH($P110,'Opportunities'!$A$6:$A$205,0)),"")))</f>
        <v/>
      </c>
      <c r="AD110" s="71">
        <f>IF($A110="","",IF($P110="","",IFERROR(INDEX('Opportunities'!$AJ$6:$AJ$205,MATCH($P110,'Opportunities'!$A$6:$A$205,0)),"")))</f>
        <v/>
      </c>
      <c r="AE110" s="72">
        <f>IF($A110="","",IF($P110="","",IFERROR(INDEX('Opportunities'!$AA$6:$AA$205,MATCH($P110,'Opportunities'!$A$6:$A$205,0)),"")))</f>
        <v/>
      </c>
      <c r="AF110" s="73">
        <f>IF($A110="","",IF($P110="","",IFERROR(INDEX('Opportunities'!$AF$6:$AF$205,MATCH($P110,'Opportunities'!$A$6:$A$205,0)),"")))</f>
        <v/>
      </c>
      <c r="AG110" s="41">
        <f>IF($A110="","",IF($P110="","",IFERROR(INDEX('Opportunities'!$AB$6:$AB$205,MATCH($P110,'Opportunities'!$A$6:$A$205,0)),"")))</f>
        <v/>
      </c>
      <c r="AH110" s="74">
        <f>IF($A110="","",IF($P110="","",IFERROR(($U110+$V110-$J110-$K110)*24,0)))</f>
        <v/>
      </c>
      <c r="AI110" s="38">
        <f>IF($A110="","",IF($P110="","No load selected",IF($AH110&lt;IFERROR($Z110/'Settings'!$B$11,0)+'Settings'!$B$12,"Too tight",IF($AH110&gt;'Settings'!$B$13,"Long wait","Feasible"))))</f>
        <v/>
      </c>
      <c r="AJ110" s="41">
        <f>IF($A110="","",IF($P110="","",$N110-$Z110-$AB110))</f>
        <v/>
      </c>
      <c r="AK110" s="38">
        <f>IF($A110="","",IF(COUNTIF($A$6:$A$205,$A110)&gt;1,"Duplicate Trip ID",IF($P110="","Open",IF(COUNTIF('Opportunities'!$A$6:$A$205,$P110)=0,"Load ID not found",IF(COUNTIFS('Opportunities'!$A$6:$A$205,$P110,'Opportunities'!$B$6:$B$205,$A110)=0,"Trip mismatch",IF(COUNTIF($P$6:$P$205,$P110)&gt;1,"Duplicate selection",IF(AND(OR($O110="Booked",$O110="Completed"),AND($Q110&lt;&gt;"Booked",$Q110&lt;&gt;"Completed")),"Status mismatch","OK")))))))</f>
        <v/>
      </c>
      <c r="AL110" s="46" t="n"/>
    </row>
    <row r="111">
      <c r="A111" s="34" t="n"/>
      <c r="B111" s="34" t="n"/>
      <c r="C111" s="34" t="n"/>
      <c r="D111" s="34" t="n"/>
      <c r="E111" s="34" t="n"/>
      <c r="F111" s="34" t="n"/>
      <c r="G111" s="34" t="n"/>
      <c r="H111" s="69" t="n"/>
      <c r="I111" s="36" t="n"/>
      <c r="J111" s="69" t="n"/>
      <c r="K111" s="36" t="n"/>
      <c r="L111" s="34" t="n"/>
      <c r="M111" s="34" t="n"/>
      <c r="N111" s="37" t="n"/>
      <c r="O111" s="34" t="n"/>
      <c r="P111" s="34" t="n"/>
      <c r="Q111" s="38">
        <f>IF($A111="","",IF($P111="","",IFERROR(INDEX('Opportunities'!$C$6:$C$205,MATCH($P111,'Opportunities'!$A$6:$A$205,0)),"")))</f>
        <v/>
      </c>
      <c r="R111" s="38">
        <f>IF($A111="","",IF($P111="","",IFERROR(INDEX('Opportunities'!$D$6:$D$205,MATCH($P111,'Opportunities'!$A$6:$A$205,0)),"")))</f>
        <v/>
      </c>
      <c r="S111" s="38">
        <f>IF($A111="","",IF($P111="","",IFERROR(INDEX('Opportunities'!$E$6:$E$205,MATCH($P111,'Opportunities'!$A$6:$A$205,0)),"")))</f>
        <v/>
      </c>
      <c r="T111" s="38">
        <f>IF($A111="","",IF($P111="","",IFERROR(INDEX('Opportunities'!$F$6:$F$205,MATCH($P111,'Opportunities'!$A$6:$A$205,0)),"")))</f>
        <v/>
      </c>
      <c r="U111" s="70">
        <f>IF($A111="","",IF($P111="","",IFERROR(INDEX('Opportunities'!$G$6:$G$205,MATCH($P111,'Opportunities'!$A$6:$A$205,0)),"")))</f>
        <v/>
      </c>
      <c r="V111" s="40">
        <f>IF($A111="","",IF($P111="","",IFERROR(INDEX('Opportunities'!$H$6:$H$205,MATCH($P111,'Opportunities'!$A$6:$A$205,0)),"")))</f>
        <v/>
      </c>
      <c r="W111" s="38">
        <f>IF($A111="","",IF($P111="","",IFERROR(INDEX('Opportunities'!$I$6:$I$205,MATCH($P111,'Opportunities'!$A$6:$A$205,0)),"")))</f>
        <v/>
      </c>
      <c r="X111" s="38">
        <f>IF($A111="","",IF($P111="","",IFERROR(INDEX('Opportunities'!$J$6:$J$205,MATCH($P111,'Opportunities'!$A$6:$A$205,0)),"")))</f>
        <v/>
      </c>
      <c r="Y111" s="70">
        <f>IF($A111="","",IF($P111="","",IFERROR(INDEX('Opportunities'!$K$6:$K$205,MATCH($P111,'Opportunities'!$A$6:$A$205,0)),"")))</f>
        <v/>
      </c>
      <c r="Z111" s="41">
        <f>IF($A111="","",IF($P111="","",IFERROR(INDEX('Opportunities'!$O$6:$O$205,MATCH($P111,'Opportunities'!$A$6:$A$205,0)),"")))</f>
        <v/>
      </c>
      <c r="AA111" s="41">
        <f>IF($A111="","",IF($P111="","",IFERROR(INDEX('Opportunities'!$P$6:$P$205,MATCH($P111,'Opportunities'!$A$6:$A$205,0)),"")))</f>
        <v/>
      </c>
      <c r="AB111" s="41">
        <f>IF($A111="","",IF($P111="","",IFERROR(INDEX('Opportunities'!$Q$6:$Q$205,MATCH($P111,'Opportunities'!$A$6:$A$205,0)),"")))</f>
        <v/>
      </c>
      <c r="AC111" s="71">
        <f>IF($A111="","",IF($P111="","",IFERROR(INDEX('Opportunities'!$Z$6:$Z$205,MATCH($P111,'Opportunities'!$A$6:$A$205,0)),"")))</f>
        <v/>
      </c>
      <c r="AD111" s="71">
        <f>IF($A111="","",IF($P111="","",IFERROR(INDEX('Opportunities'!$AJ$6:$AJ$205,MATCH($P111,'Opportunities'!$A$6:$A$205,0)),"")))</f>
        <v/>
      </c>
      <c r="AE111" s="72">
        <f>IF($A111="","",IF($P111="","",IFERROR(INDEX('Opportunities'!$AA$6:$AA$205,MATCH($P111,'Opportunities'!$A$6:$A$205,0)),"")))</f>
        <v/>
      </c>
      <c r="AF111" s="73">
        <f>IF($A111="","",IF($P111="","",IFERROR(INDEX('Opportunities'!$AF$6:$AF$205,MATCH($P111,'Opportunities'!$A$6:$A$205,0)),"")))</f>
        <v/>
      </c>
      <c r="AG111" s="41">
        <f>IF($A111="","",IF($P111="","",IFERROR(INDEX('Opportunities'!$AB$6:$AB$205,MATCH($P111,'Opportunities'!$A$6:$A$205,0)),"")))</f>
        <v/>
      </c>
      <c r="AH111" s="74">
        <f>IF($A111="","",IF($P111="","",IFERROR(($U111+$V111-$J111-$K111)*24,0)))</f>
        <v/>
      </c>
      <c r="AI111" s="38">
        <f>IF($A111="","",IF($P111="","No load selected",IF($AH111&lt;IFERROR($Z111/'Settings'!$B$11,0)+'Settings'!$B$12,"Too tight",IF($AH111&gt;'Settings'!$B$13,"Long wait","Feasible"))))</f>
        <v/>
      </c>
      <c r="AJ111" s="41">
        <f>IF($A111="","",IF($P111="","",$N111-$Z111-$AB111))</f>
        <v/>
      </c>
      <c r="AK111" s="38">
        <f>IF($A111="","",IF(COUNTIF($A$6:$A$205,$A111)&gt;1,"Duplicate Trip ID",IF($P111="","Open",IF(COUNTIF('Opportunities'!$A$6:$A$205,$P111)=0,"Load ID not found",IF(COUNTIFS('Opportunities'!$A$6:$A$205,$P111,'Opportunities'!$B$6:$B$205,$A111)=0,"Trip mismatch",IF(COUNTIF($P$6:$P$205,$P111)&gt;1,"Duplicate selection",IF(AND(OR($O111="Booked",$O111="Completed"),AND($Q111&lt;&gt;"Booked",$Q111&lt;&gt;"Completed")),"Status mismatch","OK")))))))</f>
        <v/>
      </c>
      <c r="AL111" s="46" t="n"/>
    </row>
    <row r="112">
      <c r="A112" s="34" t="n"/>
      <c r="B112" s="34" t="n"/>
      <c r="C112" s="34" t="n"/>
      <c r="D112" s="34" t="n"/>
      <c r="E112" s="34" t="n"/>
      <c r="F112" s="34" t="n"/>
      <c r="G112" s="34" t="n"/>
      <c r="H112" s="69" t="n"/>
      <c r="I112" s="36" t="n"/>
      <c r="J112" s="69" t="n"/>
      <c r="K112" s="36" t="n"/>
      <c r="L112" s="34" t="n"/>
      <c r="M112" s="34" t="n"/>
      <c r="N112" s="37" t="n"/>
      <c r="O112" s="34" t="n"/>
      <c r="P112" s="34" t="n"/>
      <c r="Q112" s="38">
        <f>IF($A112="","",IF($P112="","",IFERROR(INDEX('Opportunities'!$C$6:$C$205,MATCH($P112,'Opportunities'!$A$6:$A$205,0)),"")))</f>
        <v/>
      </c>
      <c r="R112" s="38">
        <f>IF($A112="","",IF($P112="","",IFERROR(INDEX('Opportunities'!$D$6:$D$205,MATCH($P112,'Opportunities'!$A$6:$A$205,0)),"")))</f>
        <v/>
      </c>
      <c r="S112" s="38">
        <f>IF($A112="","",IF($P112="","",IFERROR(INDEX('Opportunities'!$E$6:$E$205,MATCH($P112,'Opportunities'!$A$6:$A$205,0)),"")))</f>
        <v/>
      </c>
      <c r="T112" s="38">
        <f>IF($A112="","",IF($P112="","",IFERROR(INDEX('Opportunities'!$F$6:$F$205,MATCH($P112,'Opportunities'!$A$6:$A$205,0)),"")))</f>
        <v/>
      </c>
      <c r="U112" s="70">
        <f>IF($A112="","",IF($P112="","",IFERROR(INDEX('Opportunities'!$G$6:$G$205,MATCH($P112,'Opportunities'!$A$6:$A$205,0)),"")))</f>
        <v/>
      </c>
      <c r="V112" s="40">
        <f>IF($A112="","",IF($P112="","",IFERROR(INDEX('Opportunities'!$H$6:$H$205,MATCH($P112,'Opportunities'!$A$6:$A$205,0)),"")))</f>
        <v/>
      </c>
      <c r="W112" s="38">
        <f>IF($A112="","",IF($P112="","",IFERROR(INDEX('Opportunities'!$I$6:$I$205,MATCH($P112,'Opportunities'!$A$6:$A$205,0)),"")))</f>
        <v/>
      </c>
      <c r="X112" s="38">
        <f>IF($A112="","",IF($P112="","",IFERROR(INDEX('Opportunities'!$J$6:$J$205,MATCH($P112,'Opportunities'!$A$6:$A$205,0)),"")))</f>
        <v/>
      </c>
      <c r="Y112" s="70">
        <f>IF($A112="","",IF($P112="","",IFERROR(INDEX('Opportunities'!$K$6:$K$205,MATCH($P112,'Opportunities'!$A$6:$A$205,0)),"")))</f>
        <v/>
      </c>
      <c r="Z112" s="41">
        <f>IF($A112="","",IF($P112="","",IFERROR(INDEX('Opportunities'!$O$6:$O$205,MATCH($P112,'Opportunities'!$A$6:$A$205,0)),"")))</f>
        <v/>
      </c>
      <c r="AA112" s="41">
        <f>IF($A112="","",IF($P112="","",IFERROR(INDEX('Opportunities'!$P$6:$P$205,MATCH($P112,'Opportunities'!$A$6:$A$205,0)),"")))</f>
        <v/>
      </c>
      <c r="AB112" s="41">
        <f>IF($A112="","",IF($P112="","",IFERROR(INDEX('Opportunities'!$Q$6:$Q$205,MATCH($P112,'Opportunities'!$A$6:$A$205,0)),"")))</f>
        <v/>
      </c>
      <c r="AC112" s="71">
        <f>IF($A112="","",IF($P112="","",IFERROR(INDEX('Opportunities'!$Z$6:$Z$205,MATCH($P112,'Opportunities'!$A$6:$A$205,0)),"")))</f>
        <v/>
      </c>
      <c r="AD112" s="71">
        <f>IF($A112="","",IF($P112="","",IFERROR(INDEX('Opportunities'!$AJ$6:$AJ$205,MATCH($P112,'Opportunities'!$A$6:$A$205,0)),"")))</f>
        <v/>
      </c>
      <c r="AE112" s="72">
        <f>IF($A112="","",IF($P112="","",IFERROR(INDEX('Opportunities'!$AA$6:$AA$205,MATCH($P112,'Opportunities'!$A$6:$A$205,0)),"")))</f>
        <v/>
      </c>
      <c r="AF112" s="73">
        <f>IF($A112="","",IF($P112="","",IFERROR(INDEX('Opportunities'!$AF$6:$AF$205,MATCH($P112,'Opportunities'!$A$6:$A$205,0)),"")))</f>
        <v/>
      </c>
      <c r="AG112" s="41">
        <f>IF($A112="","",IF($P112="","",IFERROR(INDEX('Opportunities'!$AB$6:$AB$205,MATCH($P112,'Opportunities'!$A$6:$A$205,0)),"")))</f>
        <v/>
      </c>
      <c r="AH112" s="74">
        <f>IF($A112="","",IF($P112="","",IFERROR(($U112+$V112-$J112-$K112)*24,0)))</f>
        <v/>
      </c>
      <c r="AI112" s="38">
        <f>IF($A112="","",IF($P112="","No load selected",IF($AH112&lt;IFERROR($Z112/'Settings'!$B$11,0)+'Settings'!$B$12,"Too tight",IF($AH112&gt;'Settings'!$B$13,"Long wait","Feasible"))))</f>
        <v/>
      </c>
      <c r="AJ112" s="41">
        <f>IF($A112="","",IF($P112="","",$N112-$Z112-$AB112))</f>
        <v/>
      </c>
      <c r="AK112" s="38">
        <f>IF($A112="","",IF(COUNTIF($A$6:$A$205,$A112)&gt;1,"Duplicate Trip ID",IF($P112="","Open",IF(COUNTIF('Opportunities'!$A$6:$A$205,$P112)=0,"Load ID not found",IF(COUNTIFS('Opportunities'!$A$6:$A$205,$P112,'Opportunities'!$B$6:$B$205,$A112)=0,"Trip mismatch",IF(COUNTIF($P$6:$P$205,$P112)&gt;1,"Duplicate selection",IF(AND(OR($O112="Booked",$O112="Completed"),AND($Q112&lt;&gt;"Booked",$Q112&lt;&gt;"Completed")),"Status mismatch","OK")))))))</f>
        <v/>
      </c>
      <c r="AL112" s="46" t="n"/>
    </row>
    <row r="113">
      <c r="A113" s="34" t="n"/>
      <c r="B113" s="34" t="n"/>
      <c r="C113" s="34" t="n"/>
      <c r="D113" s="34" t="n"/>
      <c r="E113" s="34" t="n"/>
      <c r="F113" s="34" t="n"/>
      <c r="G113" s="34" t="n"/>
      <c r="H113" s="69" t="n"/>
      <c r="I113" s="36" t="n"/>
      <c r="J113" s="69" t="n"/>
      <c r="K113" s="36" t="n"/>
      <c r="L113" s="34" t="n"/>
      <c r="M113" s="34" t="n"/>
      <c r="N113" s="37" t="n"/>
      <c r="O113" s="34" t="n"/>
      <c r="P113" s="34" t="n"/>
      <c r="Q113" s="38">
        <f>IF($A113="","",IF($P113="","",IFERROR(INDEX('Opportunities'!$C$6:$C$205,MATCH($P113,'Opportunities'!$A$6:$A$205,0)),"")))</f>
        <v/>
      </c>
      <c r="R113" s="38">
        <f>IF($A113="","",IF($P113="","",IFERROR(INDEX('Opportunities'!$D$6:$D$205,MATCH($P113,'Opportunities'!$A$6:$A$205,0)),"")))</f>
        <v/>
      </c>
      <c r="S113" s="38">
        <f>IF($A113="","",IF($P113="","",IFERROR(INDEX('Opportunities'!$E$6:$E$205,MATCH($P113,'Opportunities'!$A$6:$A$205,0)),"")))</f>
        <v/>
      </c>
      <c r="T113" s="38">
        <f>IF($A113="","",IF($P113="","",IFERROR(INDEX('Opportunities'!$F$6:$F$205,MATCH($P113,'Opportunities'!$A$6:$A$205,0)),"")))</f>
        <v/>
      </c>
      <c r="U113" s="70">
        <f>IF($A113="","",IF($P113="","",IFERROR(INDEX('Opportunities'!$G$6:$G$205,MATCH($P113,'Opportunities'!$A$6:$A$205,0)),"")))</f>
        <v/>
      </c>
      <c r="V113" s="40">
        <f>IF($A113="","",IF($P113="","",IFERROR(INDEX('Opportunities'!$H$6:$H$205,MATCH($P113,'Opportunities'!$A$6:$A$205,0)),"")))</f>
        <v/>
      </c>
      <c r="W113" s="38">
        <f>IF($A113="","",IF($P113="","",IFERROR(INDEX('Opportunities'!$I$6:$I$205,MATCH($P113,'Opportunities'!$A$6:$A$205,0)),"")))</f>
        <v/>
      </c>
      <c r="X113" s="38">
        <f>IF($A113="","",IF($P113="","",IFERROR(INDEX('Opportunities'!$J$6:$J$205,MATCH($P113,'Opportunities'!$A$6:$A$205,0)),"")))</f>
        <v/>
      </c>
      <c r="Y113" s="70">
        <f>IF($A113="","",IF($P113="","",IFERROR(INDEX('Opportunities'!$K$6:$K$205,MATCH($P113,'Opportunities'!$A$6:$A$205,0)),"")))</f>
        <v/>
      </c>
      <c r="Z113" s="41">
        <f>IF($A113="","",IF($P113="","",IFERROR(INDEX('Opportunities'!$O$6:$O$205,MATCH($P113,'Opportunities'!$A$6:$A$205,0)),"")))</f>
        <v/>
      </c>
      <c r="AA113" s="41">
        <f>IF($A113="","",IF($P113="","",IFERROR(INDEX('Opportunities'!$P$6:$P$205,MATCH($P113,'Opportunities'!$A$6:$A$205,0)),"")))</f>
        <v/>
      </c>
      <c r="AB113" s="41">
        <f>IF($A113="","",IF($P113="","",IFERROR(INDEX('Opportunities'!$Q$6:$Q$205,MATCH($P113,'Opportunities'!$A$6:$A$205,0)),"")))</f>
        <v/>
      </c>
      <c r="AC113" s="71">
        <f>IF($A113="","",IF($P113="","",IFERROR(INDEX('Opportunities'!$Z$6:$Z$205,MATCH($P113,'Opportunities'!$A$6:$A$205,0)),"")))</f>
        <v/>
      </c>
      <c r="AD113" s="71">
        <f>IF($A113="","",IF($P113="","",IFERROR(INDEX('Opportunities'!$AJ$6:$AJ$205,MATCH($P113,'Opportunities'!$A$6:$A$205,0)),"")))</f>
        <v/>
      </c>
      <c r="AE113" s="72">
        <f>IF($A113="","",IF($P113="","",IFERROR(INDEX('Opportunities'!$AA$6:$AA$205,MATCH($P113,'Opportunities'!$A$6:$A$205,0)),"")))</f>
        <v/>
      </c>
      <c r="AF113" s="73">
        <f>IF($A113="","",IF($P113="","",IFERROR(INDEX('Opportunities'!$AF$6:$AF$205,MATCH($P113,'Opportunities'!$A$6:$A$205,0)),"")))</f>
        <v/>
      </c>
      <c r="AG113" s="41">
        <f>IF($A113="","",IF($P113="","",IFERROR(INDEX('Opportunities'!$AB$6:$AB$205,MATCH($P113,'Opportunities'!$A$6:$A$205,0)),"")))</f>
        <v/>
      </c>
      <c r="AH113" s="74">
        <f>IF($A113="","",IF($P113="","",IFERROR(($U113+$V113-$J113-$K113)*24,0)))</f>
        <v/>
      </c>
      <c r="AI113" s="38">
        <f>IF($A113="","",IF($P113="","No load selected",IF($AH113&lt;IFERROR($Z113/'Settings'!$B$11,0)+'Settings'!$B$12,"Too tight",IF($AH113&gt;'Settings'!$B$13,"Long wait","Feasible"))))</f>
        <v/>
      </c>
      <c r="AJ113" s="41">
        <f>IF($A113="","",IF($P113="","",$N113-$Z113-$AB113))</f>
        <v/>
      </c>
      <c r="AK113" s="38">
        <f>IF($A113="","",IF(COUNTIF($A$6:$A$205,$A113)&gt;1,"Duplicate Trip ID",IF($P113="","Open",IF(COUNTIF('Opportunities'!$A$6:$A$205,$P113)=0,"Load ID not found",IF(COUNTIFS('Opportunities'!$A$6:$A$205,$P113,'Opportunities'!$B$6:$B$205,$A113)=0,"Trip mismatch",IF(COUNTIF($P$6:$P$205,$P113)&gt;1,"Duplicate selection",IF(AND(OR($O113="Booked",$O113="Completed"),AND($Q113&lt;&gt;"Booked",$Q113&lt;&gt;"Completed")),"Status mismatch","OK")))))))</f>
        <v/>
      </c>
      <c r="AL113" s="46" t="n"/>
    </row>
    <row r="114">
      <c r="A114" s="34" t="n"/>
      <c r="B114" s="34" t="n"/>
      <c r="C114" s="34" t="n"/>
      <c r="D114" s="34" t="n"/>
      <c r="E114" s="34" t="n"/>
      <c r="F114" s="34" t="n"/>
      <c r="G114" s="34" t="n"/>
      <c r="H114" s="69" t="n"/>
      <c r="I114" s="36" t="n"/>
      <c r="J114" s="69" t="n"/>
      <c r="K114" s="36" t="n"/>
      <c r="L114" s="34" t="n"/>
      <c r="M114" s="34" t="n"/>
      <c r="N114" s="37" t="n"/>
      <c r="O114" s="34" t="n"/>
      <c r="P114" s="34" t="n"/>
      <c r="Q114" s="38">
        <f>IF($A114="","",IF($P114="","",IFERROR(INDEX('Opportunities'!$C$6:$C$205,MATCH($P114,'Opportunities'!$A$6:$A$205,0)),"")))</f>
        <v/>
      </c>
      <c r="R114" s="38">
        <f>IF($A114="","",IF($P114="","",IFERROR(INDEX('Opportunities'!$D$6:$D$205,MATCH($P114,'Opportunities'!$A$6:$A$205,0)),"")))</f>
        <v/>
      </c>
      <c r="S114" s="38">
        <f>IF($A114="","",IF($P114="","",IFERROR(INDEX('Opportunities'!$E$6:$E$205,MATCH($P114,'Opportunities'!$A$6:$A$205,0)),"")))</f>
        <v/>
      </c>
      <c r="T114" s="38">
        <f>IF($A114="","",IF($P114="","",IFERROR(INDEX('Opportunities'!$F$6:$F$205,MATCH($P114,'Opportunities'!$A$6:$A$205,0)),"")))</f>
        <v/>
      </c>
      <c r="U114" s="70">
        <f>IF($A114="","",IF($P114="","",IFERROR(INDEX('Opportunities'!$G$6:$G$205,MATCH($P114,'Opportunities'!$A$6:$A$205,0)),"")))</f>
        <v/>
      </c>
      <c r="V114" s="40">
        <f>IF($A114="","",IF($P114="","",IFERROR(INDEX('Opportunities'!$H$6:$H$205,MATCH($P114,'Opportunities'!$A$6:$A$205,0)),"")))</f>
        <v/>
      </c>
      <c r="W114" s="38">
        <f>IF($A114="","",IF($P114="","",IFERROR(INDEX('Opportunities'!$I$6:$I$205,MATCH($P114,'Opportunities'!$A$6:$A$205,0)),"")))</f>
        <v/>
      </c>
      <c r="X114" s="38">
        <f>IF($A114="","",IF($P114="","",IFERROR(INDEX('Opportunities'!$J$6:$J$205,MATCH($P114,'Opportunities'!$A$6:$A$205,0)),"")))</f>
        <v/>
      </c>
      <c r="Y114" s="70">
        <f>IF($A114="","",IF($P114="","",IFERROR(INDEX('Opportunities'!$K$6:$K$205,MATCH($P114,'Opportunities'!$A$6:$A$205,0)),"")))</f>
        <v/>
      </c>
      <c r="Z114" s="41">
        <f>IF($A114="","",IF($P114="","",IFERROR(INDEX('Opportunities'!$O$6:$O$205,MATCH($P114,'Opportunities'!$A$6:$A$205,0)),"")))</f>
        <v/>
      </c>
      <c r="AA114" s="41">
        <f>IF($A114="","",IF($P114="","",IFERROR(INDEX('Opportunities'!$P$6:$P$205,MATCH($P114,'Opportunities'!$A$6:$A$205,0)),"")))</f>
        <v/>
      </c>
      <c r="AB114" s="41">
        <f>IF($A114="","",IF($P114="","",IFERROR(INDEX('Opportunities'!$Q$6:$Q$205,MATCH($P114,'Opportunities'!$A$6:$A$205,0)),"")))</f>
        <v/>
      </c>
      <c r="AC114" s="71">
        <f>IF($A114="","",IF($P114="","",IFERROR(INDEX('Opportunities'!$Z$6:$Z$205,MATCH($P114,'Opportunities'!$A$6:$A$205,0)),"")))</f>
        <v/>
      </c>
      <c r="AD114" s="71">
        <f>IF($A114="","",IF($P114="","",IFERROR(INDEX('Opportunities'!$AJ$6:$AJ$205,MATCH($P114,'Opportunities'!$A$6:$A$205,0)),"")))</f>
        <v/>
      </c>
      <c r="AE114" s="72">
        <f>IF($A114="","",IF($P114="","",IFERROR(INDEX('Opportunities'!$AA$6:$AA$205,MATCH($P114,'Opportunities'!$A$6:$A$205,0)),"")))</f>
        <v/>
      </c>
      <c r="AF114" s="73">
        <f>IF($A114="","",IF($P114="","",IFERROR(INDEX('Opportunities'!$AF$6:$AF$205,MATCH($P114,'Opportunities'!$A$6:$A$205,0)),"")))</f>
        <v/>
      </c>
      <c r="AG114" s="41">
        <f>IF($A114="","",IF($P114="","",IFERROR(INDEX('Opportunities'!$AB$6:$AB$205,MATCH($P114,'Opportunities'!$A$6:$A$205,0)),"")))</f>
        <v/>
      </c>
      <c r="AH114" s="74">
        <f>IF($A114="","",IF($P114="","",IFERROR(($U114+$V114-$J114-$K114)*24,0)))</f>
        <v/>
      </c>
      <c r="AI114" s="38">
        <f>IF($A114="","",IF($P114="","No load selected",IF($AH114&lt;IFERROR($Z114/'Settings'!$B$11,0)+'Settings'!$B$12,"Too tight",IF($AH114&gt;'Settings'!$B$13,"Long wait","Feasible"))))</f>
        <v/>
      </c>
      <c r="AJ114" s="41">
        <f>IF($A114="","",IF($P114="","",$N114-$Z114-$AB114))</f>
        <v/>
      </c>
      <c r="AK114" s="38">
        <f>IF($A114="","",IF(COUNTIF($A$6:$A$205,$A114)&gt;1,"Duplicate Trip ID",IF($P114="","Open",IF(COUNTIF('Opportunities'!$A$6:$A$205,$P114)=0,"Load ID not found",IF(COUNTIFS('Opportunities'!$A$6:$A$205,$P114,'Opportunities'!$B$6:$B$205,$A114)=0,"Trip mismatch",IF(COUNTIF($P$6:$P$205,$P114)&gt;1,"Duplicate selection",IF(AND(OR($O114="Booked",$O114="Completed"),AND($Q114&lt;&gt;"Booked",$Q114&lt;&gt;"Completed")),"Status mismatch","OK")))))))</f>
        <v/>
      </c>
      <c r="AL114" s="46" t="n"/>
    </row>
    <row r="115">
      <c r="A115" s="34" t="n"/>
      <c r="B115" s="34" t="n"/>
      <c r="C115" s="34" t="n"/>
      <c r="D115" s="34" t="n"/>
      <c r="E115" s="34" t="n"/>
      <c r="F115" s="34" t="n"/>
      <c r="G115" s="34" t="n"/>
      <c r="H115" s="69" t="n"/>
      <c r="I115" s="36" t="n"/>
      <c r="J115" s="69" t="n"/>
      <c r="K115" s="36" t="n"/>
      <c r="L115" s="34" t="n"/>
      <c r="M115" s="34" t="n"/>
      <c r="N115" s="37" t="n"/>
      <c r="O115" s="34" t="n"/>
      <c r="P115" s="34" t="n"/>
      <c r="Q115" s="38">
        <f>IF($A115="","",IF($P115="","",IFERROR(INDEX('Opportunities'!$C$6:$C$205,MATCH($P115,'Opportunities'!$A$6:$A$205,0)),"")))</f>
        <v/>
      </c>
      <c r="R115" s="38">
        <f>IF($A115="","",IF($P115="","",IFERROR(INDEX('Opportunities'!$D$6:$D$205,MATCH($P115,'Opportunities'!$A$6:$A$205,0)),"")))</f>
        <v/>
      </c>
      <c r="S115" s="38">
        <f>IF($A115="","",IF($P115="","",IFERROR(INDEX('Opportunities'!$E$6:$E$205,MATCH($P115,'Opportunities'!$A$6:$A$205,0)),"")))</f>
        <v/>
      </c>
      <c r="T115" s="38">
        <f>IF($A115="","",IF($P115="","",IFERROR(INDEX('Opportunities'!$F$6:$F$205,MATCH($P115,'Opportunities'!$A$6:$A$205,0)),"")))</f>
        <v/>
      </c>
      <c r="U115" s="70">
        <f>IF($A115="","",IF($P115="","",IFERROR(INDEX('Opportunities'!$G$6:$G$205,MATCH($P115,'Opportunities'!$A$6:$A$205,0)),"")))</f>
        <v/>
      </c>
      <c r="V115" s="40">
        <f>IF($A115="","",IF($P115="","",IFERROR(INDEX('Opportunities'!$H$6:$H$205,MATCH($P115,'Opportunities'!$A$6:$A$205,0)),"")))</f>
        <v/>
      </c>
      <c r="W115" s="38">
        <f>IF($A115="","",IF($P115="","",IFERROR(INDEX('Opportunities'!$I$6:$I$205,MATCH($P115,'Opportunities'!$A$6:$A$205,0)),"")))</f>
        <v/>
      </c>
      <c r="X115" s="38">
        <f>IF($A115="","",IF($P115="","",IFERROR(INDEX('Opportunities'!$J$6:$J$205,MATCH($P115,'Opportunities'!$A$6:$A$205,0)),"")))</f>
        <v/>
      </c>
      <c r="Y115" s="70">
        <f>IF($A115="","",IF($P115="","",IFERROR(INDEX('Opportunities'!$K$6:$K$205,MATCH($P115,'Opportunities'!$A$6:$A$205,0)),"")))</f>
        <v/>
      </c>
      <c r="Z115" s="41">
        <f>IF($A115="","",IF($P115="","",IFERROR(INDEX('Opportunities'!$O$6:$O$205,MATCH($P115,'Opportunities'!$A$6:$A$205,0)),"")))</f>
        <v/>
      </c>
      <c r="AA115" s="41">
        <f>IF($A115="","",IF($P115="","",IFERROR(INDEX('Opportunities'!$P$6:$P$205,MATCH($P115,'Opportunities'!$A$6:$A$205,0)),"")))</f>
        <v/>
      </c>
      <c r="AB115" s="41">
        <f>IF($A115="","",IF($P115="","",IFERROR(INDEX('Opportunities'!$Q$6:$Q$205,MATCH($P115,'Opportunities'!$A$6:$A$205,0)),"")))</f>
        <v/>
      </c>
      <c r="AC115" s="71">
        <f>IF($A115="","",IF($P115="","",IFERROR(INDEX('Opportunities'!$Z$6:$Z$205,MATCH($P115,'Opportunities'!$A$6:$A$205,0)),"")))</f>
        <v/>
      </c>
      <c r="AD115" s="71">
        <f>IF($A115="","",IF($P115="","",IFERROR(INDEX('Opportunities'!$AJ$6:$AJ$205,MATCH($P115,'Opportunities'!$A$6:$A$205,0)),"")))</f>
        <v/>
      </c>
      <c r="AE115" s="72">
        <f>IF($A115="","",IF($P115="","",IFERROR(INDEX('Opportunities'!$AA$6:$AA$205,MATCH($P115,'Opportunities'!$A$6:$A$205,0)),"")))</f>
        <v/>
      </c>
      <c r="AF115" s="73">
        <f>IF($A115="","",IF($P115="","",IFERROR(INDEX('Opportunities'!$AF$6:$AF$205,MATCH($P115,'Opportunities'!$A$6:$A$205,0)),"")))</f>
        <v/>
      </c>
      <c r="AG115" s="41">
        <f>IF($A115="","",IF($P115="","",IFERROR(INDEX('Opportunities'!$AB$6:$AB$205,MATCH($P115,'Opportunities'!$A$6:$A$205,0)),"")))</f>
        <v/>
      </c>
      <c r="AH115" s="74">
        <f>IF($A115="","",IF($P115="","",IFERROR(($U115+$V115-$J115-$K115)*24,0)))</f>
        <v/>
      </c>
      <c r="AI115" s="38">
        <f>IF($A115="","",IF($P115="","No load selected",IF($AH115&lt;IFERROR($Z115/'Settings'!$B$11,0)+'Settings'!$B$12,"Too tight",IF($AH115&gt;'Settings'!$B$13,"Long wait","Feasible"))))</f>
        <v/>
      </c>
      <c r="AJ115" s="41">
        <f>IF($A115="","",IF($P115="","",$N115-$Z115-$AB115))</f>
        <v/>
      </c>
      <c r="AK115" s="38">
        <f>IF($A115="","",IF(COUNTIF($A$6:$A$205,$A115)&gt;1,"Duplicate Trip ID",IF($P115="","Open",IF(COUNTIF('Opportunities'!$A$6:$A$205,$P115)=0,"Load ID not found",IF(COUNTIFS('Opportunities'!$A$6:$A$205,$P115,'Opportunities'!$B$6:$B$205,$A115)=0,"Trip mismatch",IF(COUNTIF($P$6:$P$205,$P115)&gt;1,"Duplicate selection",IF(AND(OR($O115="Booked",$O115="Completed"),AND($Q115&lt;&gt;"Booked",$Q115&lt;&gt;"Completed")),"Status mismatch","OK")))))))</f>
        <v/>
      </c>
      <c r="AL115" s="46" t="n"/>
    </row>
    <row r="116">
      <c r="A116" s="34" t="n"/>
      <c r="B116" s="34" t="n"/>
      <c r="C116" s="34" t="n"/>
      <c r="D116" s="34" t="n"/>
      <c r="E116" s="34" t="n"/>
      <c r="F116" s="34" t="n"/>
      <c r="G116" s="34" t="n"/>
      <c r="H116" s="69" t="n"/>
      <c r="I116" s="36" t="n"/>
      <c r="J116" s="69" t="n"/>
      <c r="K116" s="36" t="n"/>
      <c r="L116" s="34" t="n"/>
      <c r="M116" s="34" t="n"/>
      <c r="N116" s="37" t="n"/>
      <c r="O116" s="34" t="n"/>
      <c r="P116" s="34" t="n"/>
      <c r="Q116" s="38">
        <f>IF($A116="","",IF($P116="","",IFERROR(INDEX('Opportunities'!$C$6:$C$205,MATCH($P116,'Opportunities'!$A$6:$A$205,0)),"")))</f>
        <v/>
      </c>
      <c r="R116" s="38">
        <f>IF($A116="","",IF($P116="","",IFERROR(INDEX('Opportunities'!$D$6:$D$205,MATCH($P116,'Opportunities'!$A$6:$A$205,0)),"")))</f>
        <v/>
      </c>
      <c r="S116" s="38">
        <f>IF($A116="","",IF($P116="","",IFERROR(INDEX('Opportunities'!$E$6:$E$205,MATCH($P116,'Opportunities'!$A$6:$A$205,0)),"")))</f>
        <v/>
      </c>
      <c r="T116" s="38">
        <f>IF($A116="","",IF($P116="","",IFERROR(INDEX('Opportunities'!$F$6:$F$205,MATCH($P116,'Opportunities'!$A$6:$A$205,0)),"")))</f>
        <v/>
      </c>
      <c r="U116" s="70">
        <f>IF($A116="","",IF($P116="","",IFERROR(INDEX('Opportunities'!$G$6:$G$205,MATCH($P116,'Opportunities'!$A$6:$A$205,0)),"")))</f>
        <v/>
      </c>
      <c r="V116" s="40">
        <f>IF($A116="","",IF($P116="","",IFERROR(INDEX('Opportunities'!$H$6:$H$205,MATCH($P116,'Opportunities'!$A$6:$A$205,0)),"")))</f>
        <v/>
      </c>
      <c r="W116" s="38">
        <f>IF($A116="","",IF($P116="","",IFERROR(INDEX('Opportunities'!$I$6:$I$205,MATCH($P116,'Opportunities'!$A$6:$A$205,0)),"")))</f>
        <v/>
      </c>
      <c r="X116" s="38">
        <f>IF($A116="","",IF($P116="","",IFERROR(INDEX('Opportunities'!$J$6:$J$205,MATCH($P116,'Opportunities'!$A$6:$A$205,0)),"")))</f>
        <v/>
      </c>
      <c r="Y116" s="70">
        <f>IF($A116="","",IF($P116="","",IFERROR(INDEX('Opportunities'!$K$6:$K$205,MATCH($P116,'Opportunities'!$A$6:$A$205,0)),"")))</f>
        <v/>
      </c>
      <c r="Z116" s="41">
        <f>IF($A116="","",IF($P116="","",IFERROR(INDEX('Opportunities'!$O$6:$O$205,MATCH($P116,'Opportunities'!$A$6:$A$205,0)),"")))</f>
        <v/>
      </c>
      <c r="AA116" s="41">
        <f>IF($A116="","",IF($P116="","",IFERROR(INDEX('Opportunities'!$P$6:$P$205,MATCH($P116,'Opportunities'!$A$6:$A$205,0)),"")))</f>
        <v/>
      </c>
      <c r="AB116" s="41">
        <f>IF($A116="","",IF($P116="","",IFERROR(INDEX('Opportunities'!$Q$6:$Q$205,MATCH($P116,'Opportunities'!$A$6:$A$205,0)),"")))</f>
        <v/>
      </c>
      <c r="AC116" s="71">
        <f>IF($A116="","",IF($P116="","",IFERROR(INDEX('Opportunities'!$Z$6:$Z$205,MATCH($P116,'Opportunities'!$A$6:$A$205,0)),"")))</f>
        <v/>
      </c>
      <c r="AD116" s="71">
        <f>IF($A116="","",IF($P116="","",IFERROR(INDEX('Opportunities'!$AJ$6:$AJ$205,MATCH($P116,'Opportunities'!$A$6:$A$205,0)),"")))</f>
        <v/>
      </c>
      <c r="AE116" s="72">
        <f>IF($A116="","",IF($P116="","",IFERROR(INDEX('Opportunities'!$AA$6:$AA$205,MATCH($P116,'Opportunities'!$A$6:$A$205,0)),"")))</f>
        <v/>
      </c>
      <c r="AF116" s="73">
        <f>IF($A116="","",IF($P116="","",IFERROR(INDEX('Opportunities'!$AF$6:$AF$205,MATCH($P116,'Opportunities'!$A$6:$A$205,0)),"")))</f>
        <v/>
      </c>
      <c r="AG116" s="41">
        <f>IF($A116="","",IF($P116="","",IFERROR(INDEX('Opportunities'!$AB$6:$AB$205,MATCH($P116,'Opportunities'!$A$6:$A$205,0)),"")))</f>
        <v/>
      </c>
      <c r="AH116" s="74">
        <f>IF($A116="","",IF($P116="","",IFERROR(($U116+$V116-$J116-$K116)*24,0)))</f>
        <v/>
      </c>
      <c r="AI116" s="38">
        <f>IF($A116="","",IF($P116="","No load selected",IF($AH116&lt;IFERROR($Z116/'Settings'!$B$11,0)+'Settings'!$B$12,"Too tight",IF($AH116&gt;'Settings'!$B$13,"Long wait","Feasible"))))</f>
        <v/>
      </c>
      <c r="AJ116" s="41">
        <f>IF($A116="","",IF($P116="","",$N116-$Z116-$AB116))</f>
        <v/>
      </c>
      <c r="AK116" s="38">
        <f>IF($A116="","",IF(COUNTIF($A$6:$A$205,$A116)&gt;1,"Duplicate Trip ID",IF($P116="","Open",IF(COUNTIF('Opportunities'!$A$6:$A$205,$P116)=0,"Load ID not found",IF(COUNTIFS('Opportunities'!$A$6:$A$205,$P116,'Opportunities'!$B$6:$B$205,$A116)=0,"Trip mismatch",IF(COUNTIF($P$6:$P$205,$P116)&gt;1,"Duplicate selection",IF(AND(OR($O116="Booked",$O116="Completed"),AND($Q116&lt;&gt;"Booked",$Q116&lt;&gt;"Completed")),"Status mismatch","OK")))))))</f>
        <v/>
      </c>
      <c r="AL116" s="46" t="n"/>
    </row>
    <row r="117">
      <c r="A117" s="34" t="n"/>
      <c r="B117" s="34" t="n"/>
      <c r="C117" s="34" t="n"/>
      <c r="D117" s="34" t="n"/>
      <c r="E117" s="34" t="n"/>
      <c r="F117" s="34" t="n"/>
      <c r="G117" s="34" t="n"/>
      <c r="H117" s="69" t="n"/>
      <c r="I117" s="36" t="n"/>
      <c r="J117" s="69" t="n"/>
      <c r="K117" s="36" t="n"/>
      <c r="L117" s="34" t="n"/>
      <c r="M117" s="34" t="n"/>
      <c r="N117" s="37" t="n"/>
      <c r="O117" s="34" t="n"/>
      <c r="P117" s="34" t="n"/>
      <c r="Q117" s="38">
        <f>IF($A117="","",IF($P117="","",IFERROR(INDEX('Opportunities'!$C$6:$C$205,MATCH($P117,'Opportunities'!$A$6:$A$205,0)),"")))</f>
        <v/>
      </c>
      <c r="R117" s="38">
        <f>IF($A117="","",IF($P117="","",IFERROR(INDEX('Opportunities'!$D$6:$D$205,MATCH($P117,'Opportunities'!$A$6:$A$205,0)),"")))</f>
        <v/>
      </c>
      <c r="S117" s="38">
        <f>IF($A117="","",IF($P117="","",IFERROR(INDEX('Opportunities'!$E$6:$E$205,MATCH($P117,'Opportunities'!$A$6:$A$205,0)),"")))</f>
        <v/>
      </c>
      <c r="T117" s="38">
        <f>IF($A117="","",IF($P117="","",IFERROR(INDEX('Opportunities'!$F$6:$F$205,MATCH($P117,'Opportunities'!$A$6:$A$205,0)),"")))</f>
        <v/>
      </c>
      <c r="U117" s="70">
        <f>IF($A117="","",IF($P117="","",IFERROR(INDEX('Opportunities'!$G$6:$G$205,MATCH($P117,'Opportunities'!$A$6:$A$205,0)),"")))</f>
        <v/>
      </c>
      <c r="V117" s="40">
        <f>IF($A117="","",IF($P117="","",IFERROR(INDEX('Opportunities'!$H$6:$H$205,MATCH($P117,'Opportunities'!$A$6:$A$205,0)),"")))</f>
        <v/>
      </c>
      <c r="W117" s="38">
        <f>IF($A117="","",IF($P117="","",IFERROR(INDEX('Opportunities'!$I$6:$I$205,MATCH($P117,'Opportunities'!$A$6:$A$205,0)),"")))</f>
        <v/>
      </c>
      <c r="X117" s="38">
        <f>IF($A117="","",IF($P117="","",IFERROR(INDEX('Opportunities'!$J$6:$J$205,MATCH($P117,'Opportunities'!$A$6:$A$205,0)),"")))</f>
        <v/>
      </c>
      <c r="Y117" s="70">
        <f>IF($A117="","",IF($P117="","",IFERROR(INDEX('Opportunities'!$K$6:$K$205,MATCH($P117,'Opportunities'!$A$6:$A$205,0)),"")))</f>
        <v/>
      </c>
      <c r="Z117" s="41">
        <f>IF($A117="","",IF($P117="","",IFERROR(INDEX('Opportunities'!$O$6:$O$205,MATCH($P117,'Opportunities'!$A$6:$A$205,0)),"")))</f>
        <v/>
      </c>
      <c r="AA117" s="41">
        <f>IF($A117="","",IF($P117="","",IFERROR(INDEX('Opportunities'!$P$6:$P$205,MATCH($P117,'Opportunities'!$A$6:$A$205,0)),"")))</f>
        <v/>
      </c>
      <c r="AB117" s="41">
        <f>IF($A117="","",IF($P117="","",IFERROR(INDEX('Opportunities'!$Q$6:$Q$205,MATCH($P117,'Opportunities'!$A$6:$A$205,0)),"")))</f>
        <v/>
      </c>
      <c r="AC117" s="71">
        <f>IF($A117="","",IF($P117="","",IFERROR(INDEX('Opportunities'!$Z$6:$Z$205,MATCH($P117,'Opportunities'!$A$6:$A$205,0)),"")))</f>
        <v/>
      </c>
      <c r="AD117" s="71">
        <f>IF($A117="","",IF($P117="","",IFERROR(INDEX('Opportunities'!$AJ$6:$AJ$205,MATCH($P117,'Opportunities'!$A$6:$A$205,0)),"")))</f>
        <v/>
      </c>
      <c r="AE117" s="72">
        <f>IF($A117="","",IF($P117="","",IFERROR(INDEX('Opportunities'!$AA$6:$AA$205,MATCH($P117,'Opportunities'!$A$6:$A$205,0)),"")))</f>
        <v/>
      </c>
      <c r="AF117" s="73">
        <f>IF($A117="","",IF($P117="","",IFERROR(INDEX('Opportunities'!$AF$6:$AF$205,MATCH($P117,'Opportunities'!$A$6:$A$205,0)),"")))</f>
        <v/>
      </c>
      <c r="AG117" s="41">
        <f>IF($A117="","",IF($P117="","",IFERROR(INDEX('Opportunities'!$AB$6:$AB$205,MATCH($P117,'Opportunities'!$A$6:$A$205,0)),"")))</f>
        <v/>
      </c>
      <c r="AH117" s="74">
        <f>IF($A117="","",IF($P117="","",IFERROR(($U117+$V117-$J117-$K117)*24,0)))</f>
        <v/>
      </c>
      <c r="AI117" s="38">
        <f>IF($A117="","",IF($P117="","No load selected",IF($AH117&lt;IFERROR($Z117/'Settings'!$B$11,0)+'Settings'!$B$12,"Too tight",IF($AH117&gt;'Settings'!$B$13,"Long wait","Feasible"))))</f>
        <v/>
      </c>
      <c r="AJ117" s="41">
        <f>IF($A117="","",IF($P117="","",$N117-$Z117-$AB117))</f>
        <v/>
      </c>
      <c r="AK117" s="38">
        <f>IF($A117="","",IF(COUNTIF($A$6:$A$205,$A117)&gt;1,"Duplicate Trip ID",IF($P117="","Open",IF(COUNTIF('Opportunities'!$A$6:$A$205,$P117)=0,"Load ID not found",IF(COUNTIFS('Opportunities'!$A$6:$A$205,$P117,'Opportunities'!$B$6:$B$205,$A117)=0,"Trip mismatch",IF(COUNTIF($P$6:$P$205,$P117)&gt;1,"Duplicate selection",IF(AND(OR($O117="Booked",$O117="Completed"),AND($Q117&lt;&gt;"Booked",$Q117&lt;&gt;"Completed")),"Status mismatch","OK")))))))</f>
        <v/>
      </c>
      <c r="AL117" s="46" t="n"/>
    </row>
    <row r="118">
      <c r="A118" s="34" t="n"/>
      <c r="B118" s="34" t="n"/>
      <c r="C118" s="34" t="n"/>
      <c r="D118" s="34" t="n"/>
      <c r="E118" s="34" t="n"/>
      <c r="F118" s="34" t="n"/>
      <c r="G118" s="34" t="n"/>
      <c r="H118" s="69" t="n"/>
      <c r="I118" s="36" t="n"/>
      <c r="J118" s="69" t="n"/>
      <c r="K118" s="36" t="n"/>
      <c r="L118" s="34" t="n"/>
      <c r="M118" s="34" t="n"/>
      <c r="N118" s="37" t="n"/>
      <c r="O118" s="34" t="n"/>
      <c r="P118" s="34" t="n"/>
      <c r="Q118" s="38">
        <f>IF($A118="","",IF($P118="","",IFERROR(INDEX('Opportunities'!$C$6:$C$205,MATCH($P118,'Opportunities'!$A$6:$A$205,0)),"")))</f>
        <v/>
      </c>
      <c r="R118" s="38">
        <f>IF($A118="","",IF($P118="","",IFERROR(INDEX('Opportunities'!$D$6:$D$205,MATCH($P118,'Opportunities'!$A$6:$A$205,0)),"")))</f>
        <v/>
      </c>
      <c r="S118" s="38">
        <f>IF($A118="","",IF($P118="","",IFERROR(INDEX('Opportunities'!$E$6:$E$205,MATCH($P118,'Opportunities'!$A$6:$A$205,0)),"")))</f>
        <v/>
      </c>
      <c r="T118" s="38">
        <f>IF($A118="","",IF($P118="","",IFERROR(INDEX('Opportunities'!$F$6:$F$205,MATCH($P118,'Opportunities'!$A$6:$A$205,0)),"")))</f>
        <v/>
      </c>
      <c r="U118" s="70">
        <f>IF($A118="","",IF($P118="","",IFERROR(INDEX('Opportunities'!$G$6:$G$205,MATCH($P118,'Opportunities'!$A$6:$A$205,0)),"")))</f>
        <v/>
      </c>
      <c r="V118" s="40">
        <f>IF($A118="","",IF($P118="","",IFERROR(INDEX('Opportunities'!$H$6:$H$205,MATCH($P118,'Opportunities'!$A$6:$A$205,0)),"")))</f>
        <v/>
      </c>
      <c r="W118" s="38">
        <f>IF($A118="","",IF($P118="","",IFERROR(INDEX('Opportunities'!$I$6:$I$205,MATCH($P118,'Opportunities'!$A$6:$A$205,0)),"")))</f>
        <v/>
      </c>
      <c r="X118" s="38">
        <f>IF($A118="","",IF($P118="","",IFERROR(INDEX('Opportunities'!$J$6:$J$205,MATCH($P118,'Opportunities'!$A$6:$A$205,0)),"")))</f>
        <v/>
      </c>
      <c r="Y118" s="70">
        <f>IF($A118="","",IF($P118="","",IFERROR(INDEX('Opportunities'!$K$6:$K$205,MATCH($P118,'Opportunities'!$A$6:$A$205,0)),"")))</f>
        <v/>
      </c>
      <c r="Z118" s="41">
        <f>IF($A118="","",IF($P118="","",IFERROR(INDEX('Opportunities'!$O$6:$O$205,MATCH($P118,'Opportunities'!$A$6:$A$205,0)),"")))</f>
        <v/>
      </c>
      <c r="AA118" s="41">
        <f>IF($A118="","",IF($P118="","",IFERROR(INDEX('Opportunities'!$P$6:$P$205,MATCH($P118,'Opportunities'!$A$6:$A$205,0)),"")))</f>
        <v/>
      </c>
      <c r="AB118" s="41">
        <f>IF($A118="","",IF($P118="","",IFERROR(INDEX('Opportunities'!$Q$6:$Q$205,MATCH($P118,'Opportunities'!$A$6:$A$205,0)),"")))</f>
        <v/>
      </c>
      <c r="AC118" s="71">
        <f>IF($A118="","",IF($P118="","",IFERROR(INDEX('Opportunities'!$Z$6:$Z$205,MATCH($P118,'Opportunities'!$A$6:$A$205,0)),"")))</f>
        <v/>
      </c>
      <c r="AD118" s="71">
        <f>IF($A118="","",IF($P118="","",IFERROR(INDEX('Opportunities'!$AJ$6:$AJ$205,MATCH($P118,'Opportunities'!$A$6:$A$205,0)),"")))</f>
        <v/>
      </c>
      <c r="AE118" s="72">
        <f>IF($A118="","",IF($P118="","",IFERROR(INDEX('Opportunities'!$AA$6:$AA$205,MATCH($P118,'Opportunities'!$A$6:$A$205,0)),"")))</f>
        <v/>
      </c>
      <c r="AF118" s="73">
        <f>IF($A118="","",IF($P118="","",IFERROR(INDEX('Opportunities'!$AF$6:$AF$205,MATCH($P118,'Opportunities'!$A$6:$A$205,0)),"")))</f>
        <v/>
      </c>
      <c r="AG118" s="41">
        <f>IF($A118="","",IF($P118="","",IFERROR(INDEX('Opportunities'!$AB$6:$AB$205,MATCH($P118,'Opportunities'!$A$6:$A$205,0)),"")))</f>
        <v/>
      </c>
      <c r="AH118" s="74">
        <f>IF($A118="","",IF($P118="","",IFERROR(($U118+$V118-$J118-$K118)*24,0)))</f>
        <v/>
      </c>
      <c r="AI118" s="38">
        <f>IF($A118="","",IF($P118="","No load selected",IF($AH118&lt;IFERROR($Z118/'Settings'!$B$11,0)+'Settings'!$B$12,"Too tight",IF($AH118&gt;'Settings'!$B$13,"Long wait","Feasible"))))</f>
        <v/>
      </c>
      <c r="AJ118" s="41">
        <f>IF($A118="","",IF($P118="","",$N118-$Z118-$AB118))</f>
        <v/>
      </c>
      <c r="AK118" s="38">
        <f>IF($A118="","",IF(COUNTIF($A$6:$A$205,$A118)&gt;1,"Duplicate Trip ID",IF($P118="","Open",IF(COUNTIF('Opportunities'!$A$6:$A$205,$P118)=0,"Load ID not found",IF(COUNTIFS('Opportunities'!$A$6:$A$205,$P118,'Opportunities'!$B$6:$B$205,$A118)=0,"Trip mismatch",IF(COUNTIF($P$6:$P$205,$P118)&gt;1,"Duplicate selection",IF(AND(OR($O118="Booked",$O118="Completed"),AND($Q118&lt;&gt;"Booked",$Q118&lt;&gt;"Completed")),"Status mismatch","OK")))))))</f>
        <v/>
      </c>
      <c r="AL118" s="46" t="n"/>
    </row>
    <row r="119">
      <c r="A119" s="34" t="n"/>
      <c r="B119" s="34" t="n"/>
      <c r="C119" s="34" t="n"/>
      <c r="D119" s="34" t="n"/>
      <c r="E119" s="34" t="n"/>
      <c r="F119" s="34" t="n"/>
      <c r="G119" s="34" t="n"/>
      <c r="H119" s="69" t="n"/>
      <c r="I119" s="36" t="n"/>
      <c r="J119" s="69" t="n"/>
      <c r="K119" s="36" t="n"/>
      <c r="L119" s="34" t="n"/>
      <c r="M119" s="34" t="n"/>
      <c r="N119" s="37" t="n"/>
      <c r="O119" s="34" t="n"/>
      <c r="P119" s="34" t="n"/>
      <c r="Q119" s="38">
        <f>IF($A119="","",IF($P119="","",IFERROR(INDEX('Opportunities'!$C$6:$C$205,MATCH($P119,'Opportunities'!$A$6:$A$205,0)),"")))</f>
        <v/>
      </c>
      <c r="R119" s="38">
        <f>IF($A119="","",IF($P119="","",IFERROR(INDEX('Opportunities'!$D$6:$D$205,MATCH($P119,'Opportunities'!$A$6:$A$205,0)),"")))</f>
        <v/>
      </c>
      <c r="S119" s="38">
        <f>IF($A119="","",IF($P119="","",IFERROR(INDEX('Opportunities'!$E$6:$E$205,MATCH($P119,'Opportunities'!$A$6:$A$205,0)),"")))</f>
        <v/>
      </c>
      <c r="T119" s="38">
        <f>IF($A119="","",IF($P119="","",IFERROR(INDEX('Opportunities'!$F$6:$F$205,MATCH($P119,'Opportunities'!$A$6:$A$205,0)),"")))</f>
        <v/>
      </c>
      <c r="U119" s="70">
        <f>IF($A119="","",IF($P119="","",IFERROR(INDEX('Opportunities'!$G$6:$G$205,MATCH($P119,'Opportunities'!$A$6:$A$205,0)),"")))</f>
        <v/>
      </c>
      <c r="V119" s="40">
        <f>IF($A119="","",IF($P119="","",IFERROR(INDEX('Opportunities'!$H$6:$H$205,MATCH($P119,'Opportunities'!$A$6:$A$205,0)),"")))</f>
        <v/>
      </c>
      <c r="W119" s="38">
        <f>IF($A119="","",IF($P119="","",IFERROR(INDEX('Opportunities'!$I$6:$I$205,MATCH($P119,'Opportunities'!$A$6:$A$205,0)),"")))</f>
        <v/>
      </c>
      <c r="X119" s="38">
        <f>IF($A119="","",IF($P119="","",IFERROR(INDEX('Opportunities'!$J$6:$J$205,MATCH($P119,'Opportunities'!$A$6:$A$205,0)),"")))</f>
        <v/>
      </c>
      <c r="Y119" s="70">
        <f>IF($A119="","",IF($P119="","",IFERROR(INDEX('Opportunities'!$K$6:$K$205,MATCH($P119,'Opportunities'!$A$6:$A$205,0)),"")))</f>
        <v/>
      </c>
      <c r="Z119" s="41">
        <f>IF($A119="","",IF($P119="","",IFERROR(INDEX('Opportunities'!$O$6:$O$205,MATCH($P119,'Opportunities'!$A$6:$A$205,0)),"")))</f>
        <v/>
      </c>
      <c r="AA119" s="41">
        <f>IF($A119="","",IF($P119="","",IFERROR(INDEX('Opportunities'!$P$6:$P$205,MATCH($P119,'Opportunities'!$A$6:$A$205,0)),"")))</f>
        <v/>
      </c>
      <c r="AB119" s="41">
        <f>IF($A119="","",IF($P119="","",IFERROR(INDEX('Opportunities'!$Q$6:$Q$205,MATCH($P119,'Opportunities'!$A$6:$A$205,0)),"")))</f>
        <v/>
      </c>
      <c r="AC119" s="71">
        <f>IF($A119="","",IF($P119="","",IFERROR(INDEX('Opportunities'!$Z$6:$Z$205,MATCH($P119,'Opportunities'!$A$6:$A$205,0)),"")))</f>
        <v/>
      </c>
      <c r="AD119" s="71">
        <f>IF($A119="","",IF($P119="","",IFERROR(INDEX('Opportunities'!$AJ$6:$AJ$205,MATCH($P119,'Opportunities'!$A$6:$A$205,0)),"")))</f>
        <v/>
      </c>
      <c r="AE119" s="72">
        <f>IF($A119="","",IF($P119="","",IFERROR(INDEX('Opportunities'!$AA$6:$AA$205,MATCH($P119,'Opportunities'!$A$6:$A$205,0)),"")))</f>
        <v/>
      </c>
      <c r="AF119" s="73">
        <f>IF($A119="","",IF($P119="","",IFERROR(INDEX('Opportunities'!$AF$6:$AF$205,MATCH($P119,'Opportunities'!$A$6:$A$205,0)),"")))</f>
        <v/>
      </c>
      <c r="AG119" s="41">
        <f>IF($A119="","",IF($P119="","",IFERROR(INDEX('Opportunities'!$AB$6:$AB$205,MATCH($P119,'Opportunities'!$A$6:$A$205,0)),"")))</f>
        <v/>
      </c>
      <c r="AH119" s="74">
        <f>IF($A119="","",IF($P119="","",IFERROR(($U119+$V119-$J119-$K119)*24,0)))</f>
        <v/>
      </c>
      <c r="AI119" s="38">
        <f>IF($A119="","",IF($P119="","No load selected",IF($AH119&lt;IFERROR($Z119/'Settings'!$B$11,0)+'Settings'!$B$12,"Too tight",IF($AH119&gt;'Settings'!$B$13,"Long wait","Feasible"))))</f>
        <v/>
      </c>
      <c r="AJ119" s="41">
        <f>IF($A119="","",IF($P119="","",$N119-$Z119-$AB119))</f>
        <v/>
      </c>
      <c r="AK119" s="38">
        <f>IF($A119="","",IF(COUNTIF($A$6:$A$205,$A119)&gt;1,"Duplicate Trip ID",IF($P119="","Open",IF(COUNTIF('Opportunities'!$A$6:$A$205,$P119)=0,"Load ID not found",IF(COUNTIFS('Opportunities'!$A$6:$A$205,$P119,'Opportunities'!$B$6:$B$205,$A119)=0,"Trip mismatch",IF(COUNTIF($P$6:$P$205,$P119)&gt;1,"Duplicate selection",IF(AND(OR($O119="Booked",$O119="Completed"),AND($Q119&lt;&gt;"Booked",$Q119&lt;&gt;"Completed")),"Status mismatch","OK")))))))</f>
        <v/>
      </c>
      <c r="AL119" s="46" t="n"/>
    </row>
    <row r="120">
      <c r="A120" s="34" t="n"/>
      <c r="B120" s="34" t="n"/>
      <c r="C120" s="34" t="n"/>
      <c r="D120" s="34" t="n"/>
      <c r="E120" s="34" t="n"/>
      <c r="F120" s="34" t="n"/>
      <c r="G120" s="34" t="n"/>
      <c r="H120" s="69" t="n"/>
      <c r="I120" s="36" t="n"/>
      <c r="J120" s="69" t="n"/>
      <c r="K120" s="36" t="n"/>
      <c r="L120" s="34" t="n"/>
      <c r="M120" s="34" t="n"/>
      <c r="N120" s="37" t="n"/>
      <c r="O120" s="34" t="n"/>
      <c r="P120" s="34" t="n"/>
      <c r="Q120" s="38">
        <f>IF($A120="","",IF($P120="","",IFERROR(INDEX('Opportunities'!$C$6:$C$205,MATCH($P120,'Opportunities'!$A$6:$A$205,0)),"")))</f>
        <v/>
      </c>
      <c r="R120" s="38">
        <f>IF($A120="","",IF($P120="","",IFERROR(INDEX('Opportunities'!$D$6:$D$205,MATCH($P120,'Opportunities'!$A$6:$A$205,0)),"")))</f>
        <v/>
      </c>
      <c r="S120" s="38">
        <f>IF($A120="","",IF($P120="","",IFERROR(INDEX('Opportunities'!$E$6:$E$205,MATCH($P120,'Opportunities'!$A$6:$A$205,0)),"")))</f>
        <v/>
      </c>
      <c r="T120" s="38">
        <f>IF($A120="","",IF($P120="","",IFERROR(INDEX('Opportunities'!$F$6:$F$205,MATCH($P120,'Opportunities'!$A$6:$A$205,0)),"")))</f>
        <v/>
      </c>
      <c r="U120" s="70">
        <f>IF($A120="","",IF($P120="","",IFERROR(INDEX('Opportunities'!$G$6:$G$205,MATCH($P120,'Opportunities'!$A$6:$A$205,0)),"")))</f>
        <v/>
      </c>
      <c r="V120" s="40">
        <f>IF($A120="","",IF($P120="","",IFERROR(INDEX('Opportunities'!$H$6:$H$205,MATCH($P120,'Opportunities'!$A$6:$A$205,0)),"")))</f>
        <v/>
      </c>
      <c r="W120" s="38">
        <f>IF($A120="","",IF($P120="","",IFERROR(INDEX('Opportunities'!$I$6:$I$205,MATCH($P120,'Opportunities'!$A$6:$A$205,0)),"")))</f>
        <v/>
      </c>
      <c r="X120" s="38">
        <f>IF($A120="","",IF($P120="","",IFERROR(INDEX('Opportunities'!$J$6:$J$205,MATCH($P120,'Opportunities'!$A$6:$A$205,0)),"")))</f>
        <v/>
      </c>
      <c r="Y120" s="70">
        <f>IF($A120="","",IF($P120="","",IFERROR(INDEX('Opportunities'!$K$6:$K$205,MATCH($P120,'Opportunities'!$A$6:$A$205,0)),"")))</f>
        <v/>
      </c>
      <c r="Z120" s="41">
        <f>IF($A120="","",IF($P120="","",IFERROR(INDEX('Opportunities'!$O$6:$O$205,MATCH($P120,'Opportunities'!$A$6:$A$205,0)),"")))</f>
        <v/>
      </c>
      <c r="AA120" s="41">
        <f>IF($A120="","",IF($P120="","",IFERROR(INDEX('Opportunities'!$P$6:$P$205,MATCH($P120,'Opportunities'!$A$6:$A$205,0)),"")))</f>
        <v/>
      </c>
      <c r="AB120" s="41">
        <f>IF($A120="","",IF($P120="","",IFERROR(INDEX('Opportunities'!$Q$6:$Q$205,MATCH($P120,'Opportunities'!$A$6:$A$205,0)),"")))</f>
        <v/>
      </c>
      <c r="AC120" s="71">
        <f>IF($A120="","",IF($P120="","",IFERROR(INDEX('Opportunities'!$Z$6:$Z$205,MATCH($P120,'Opportunities'!$A$6:$A$205,0)),"")))</f>
        <v/>
      </c>
      <c r="AD120" s="71">
        <f>IF($A120="","",IF($P120="","",IFERROR(INDEX('Opportunities'!$AJ$6:$AJ$205,MATCH($P120,'Opportunities'!$A$6:$A$205,0)),"")))</f>
        <v/>
      </c>
      <c r="AE120" s="72">
        <f>IF($A120="","",IF($P120="","",IFERROR(INDEX('Opportunities'!$AA$6:$AA$205,MATCH($P120,'Opportunities'!$A$6:$A$205,0)),"")))</f>
        <v/>
      </c>
      <c r="AF120" s="73">
        <f>IF($A120="","",IF($P120="","",IFERROR(INDEX('Opportunities'!$AF$6:$AF$205,MATCH($P120,'Opportunities'!$A$6:$A$205,0)),"")))</f>
        <v/>
      </c>
      <c r="AG120" s="41">
        <f>IF($A120="","",IF($P120="","",IFERROR(INDEX('Opportunities'!$AB$6:$AB$205,MATCH($P120,'Opportunities'!$A$6:$A$205,0)),"")))</f>
        <v/>
      </c>
      <c r="AH120" s="74">
        <f>IF($A120="","",IF($P120="","",IFERROR(($U120+$V120-$J120-$K120)*24,0)))</f>
        <v/>
      </c>
      <c r="AI120" s="38">
        <f>IF($A120="","",IF($P120="","No load selected",IF($AH120&lt;IFERROR($Z120/'Settings'!$B$11,0)+'Settings'!$B$12,"Too tight",IF($AH120&gt;'Settings'!$B$13,"Long wait","Feasible"))))</f>
        <v/>
      </c>
      <c r="AJ120" s="41">
        <f>IF($A120="","",IF($P120="","",$N120-$Z120-$AB120))</f>
        <v/>
      </c>
      <c r="AK120" s="38">
        <f>IF($A120="","",IF(COUNTIF($A$6:$A$205,$A120)&gt;1,"Duplicate Trip ID",IF($P120="","Open",IF(COUNTIF('Opportunities'!$A$6:$A$205,$P120)=0,"Load ID not found",IF(COUNTIFS('Opportunities'!$A$6:$A$205,$P120,'Opportunities'!$B$6:$B$205,$A120)=0,"Trip mismatch",IF(COUNTIF($P$6:$P$205,$P120)&gt;1,"Duplicate selection",IF(AND(OR($O120="Booked",$O120="Completed"),AND($Q120&lt;&gt;"Booked",$Q120&lt;&gt;"Completed")),"Status mismatch","OK")))))))</f>
        <v/>
      </c>
      <c r="AL120" s="46" t="n"/>
    </row>
    <row r="121">
      <c r="A121" s="34" t="n"/>
      <c r="B121" s="34" t="n"/>
      <c r="C121" s="34" t="n"/>
      <c r="D121" s="34" t="n"/>
      <c r="E121" s="34" t="n"/>
      <c r="F121" s="34" t="n"/>
      <c r="G121" s="34" t="n"/>
      <c r="H121" s="69" t="n"/>
      <c r="I121" s="36" t="n"/>
      <c r="J121" s="69" t="n"/>
      <c r="K121" s="36" t="n"/>
      <c r="L121" s="34" t="n"/>
      <c r="M121" s="34" t="n"/>
      <c r="N121" s="37" t="n"/>
      <c r="O121" s="34" t="n"/>
      <c r="P121" s="34" t="n"/>
      <c r="Q121" s="38">
        <f>IF($A121="","",IF($P121="","",IFERROR(INDEX('Opportunities'!$C$6:$C$205,MATCH($P121,'Opportunities'!$A$6:$A$205,0)),"")))</f>
        <v/>
      </c>
      <c r="R121" s="38">
        <f>IF($A121="","",IF($P121="","",IFERROR(INDEX('Opportunities'!$D$6:$D$205,MATCH($P121,'Opportunities'!$A$6:$A$205,0)),"")))</f>
        <v/>
      </c>
      <c r="S121" s="38">
        <f>IF($A121="","",IF($P121="","",IFERROR(INDEX('Opportunities'!$E$6:$E$205,MATCH($P121,'Opportunities'!$A$6:$A$205,0)),"")))</f>
        <v/>
      </c>
      <c r="T121" s="38">
        <f>IF($A121="","",IF($P121="","",IFERROR(INDEX('Opportunities'!$F$6:$F$205,MATCH($P121,'Opportunities'!$A$6:$A$205,0)),"")))</f>
        <v/>
      </c>
      <c r="U121" s="70">
        <f>IF($A121="","",IF($P121="","",IFERROR(INDEX('Opportunities'!$G$6:$G$205,MATCH($P121,'Opportunities'!$A$6:$A$205,0)),"")))</f>
        <v/>
      </c>
      <c r="V121" s="40">
        <f>IF($A121="","",IF($P121="","",IFERROR(INDEX('Opportunities'!$H$6:$H$205,MATCH($P121,'Opportunities'!$A$6:$A$205,0)),"")))</f>
        <v/>
      </c>
      <c r="W121" s="38">
        <f>IF($A121="","",IF($P121="","",IFERROR(INDEX('Opportunities'!$I$6:$I$205,MATCH($P121,'Opportunities'!$A$6:$A$205,0)),"")))</f>
        <v/>
      </c>
      <c r="X121" s="38">
        <f>IF($A121="","",IF($P121="","",IFERROR(INDEX('Opportunities'!$J$6:$J$205,MATCH($P121,'Opportunities'!$A$6:$A$205,0)),"")))</f>
        <v/>
      </c>
      <c r="Y121" s="70">
        <f>IF($A121="","",IF($P121="","",IFERROR(INDEX('Opportunities'!$K$6:$K$205,MATCH($P121,'Opportunities'!$A$6:$A$205,0)),"")))</f>
        <v/>
      </c>
      <c r="Z121" s="41">
        <f>IF($A121="","",IF($P121="","",IFERROR(INDEX('Opportunities'!$O$6:$O$205,MATCH($P121,'Opportunities'!$A$6:$A$205,0)),"")))</f>
        <v/>
      </c>
      <c r="AA121" s="41">
        <f>IF($A121="","",IF($P121="","",IFERROR(INDEX('Opportunities'!$P$6:$P$205,MATCH($P121,'Opportunities'!$A$6:$A$205,0)),"")))</f>
        <v/>
      </c>
      <c r="AB121" s="41">
        <f>IF($A121="","",IF($P121="","",IFERROR(INDEX('Opportunities'!$Q$6:$Q$205,MATCH($P121,'Opportunities'!$A$6:$A$205,0)),"")))</f>
        <v/>
      </c>
      <c r="AC121" s="71">
        <f>IF($A121="","",IF($P121="","",IFERROR(INDEX('Opportunities'!$Z$6:$Z$205,MATCH($P121,'Opportunities'!$A$6:$A$205,0)),"")))</f>
        <v/>
      </c>
      <c r="AD121" s="71">
        <f>IF($A121="","",IF($P121="","",IFERROR(INDEX('Opportunities'!$AJ$6:$AJ$205,MATCH($P121,'Opportunities'!$A$6:$A$205,0)),"")))</f>
        <v/>
      </c>
      <c r="AE121" s="72">
        <f>IF($A121="","",IF($P121="","",IFERROR(INDEX('Opportunities'!$AA$6:$AA$205,MATCH($P121,'Opportunities'!$A$6:$A$205,0)),"")))</f>
        <v/>
      </c>
      <c r="AF121" s="73">
        <f>IF($A121="","",IF($P121="","",IFERROR(INDEX('Opportunities'!$AF$6:$AF$205,MATCH($P121,'Opportunities'!$A$6:$A$205,0)),"")))</f>
        <v/>
      </c>
      <c r="AG121" s="41">
        <f>IF($A121="","",IF($P121="","",IFERROR(INDEX('Opportunities'!$AB$6:$AB$205,MATCH($P121,'Opportunities'!$A$6:$A$205,0)),"")))</f>
        <v/>
      </c>
      <c r="AH121" s="74">
        <f>IF($A121="","",IF($P121="","",IFERROR(($U121+$V121-$J121-$K121)*24,0)))</f>
        <v/>
      </c>
      <c r="AI121" s="38">
        <f>IF($A121="","",IF($P121="","No load selected",IF($AH121&lt;IFERROR($Z121/'Settings'!$B$11,0)+'Settings'!$B$12,"Too tight",IF($AH121&gt;'Settings'!$B$13,"Long wait","Feasible"))))</f>
        <v/>
      </c>
      <c r="AJ121" s="41">
        <f>IF($A121="","",IF($P121="","",$N121-$Z121-$AB121))</f>
        <v/>
      </c>
      <c r="AK121" s="38">
        <f>IF($A121="","",IF(COUNTIF($A$6:$A$205,$A121)&gt;1,"Duplicate Trip ID",IF($P121="","Open",IF(COUNTIF('Opportunities'!$A$6:$A$205,$P121)=0,"Load ID not found",IF(COUNTIFS('Opportunities'!$A$6:$A$205,$P121,'Opportunities'!$B$6:$B$205,$A121)=0,"Trip mismatch",IF(COUNTIF($P$6:$P$205,$P121)&gt;1,"Duplicate selection",IF(AND(OR($O121="Booked",$O121="Completed"),AND($Q121&lt;&gt;"Booked",$Q121&lt;&gt;"Completed")),"Status mismatch","OK")))))))</f>
        <v/>
      </c>
      <c r="AL121" s="46" t="n"/>
    </row>
    <row r="122">
      <c r="A122" s="34" t="n"/>
      <c r="B122" s="34" t="n"/>
      <c r="C122" s="34" t="n"/>
      <c r="D122" s="34" t="n"/>
      <c r="E122" s="34" t="n"/>
      <c r="F122" s="34" t="n"/>
      <c r="G122" s="34" t="n"/>
      <c r="H122" s="69" t="n"/>
      <c r="I122" s="36" t="n"/>
      <c r="J122" s="69" t="n"/>
      <c r="K122" s="36" t="n"/>
      <c r="L122" s="34" t="n"/>
      <c r="M122" s="34" t="n"/>
      <c r="N122" s="37" t="n"/>
      <c r="O122" s="34" t="n"/>
      <c r="P122" s="34" t="n"/>
      <c r="Q122" s="38">
        <f>IF($A122="","",IF($P122="","",IFERROR(INDEX('Opportunities'!$C$6:$C$205,MATCH($P122,'Opportunities'!$A$6:$A$205,0)),"")))</f>
        <v/>
      </c>
      <c r="R122" s="38">
        <f>IF($A122="","",IF($P122="","",IFERROR(INDEX('Opportunities'!$D$6:$D$205,MATCH($P122,'Opportunities'!$A$6:$A$205,0)),"")))</f>
        <v/>
      </c>
      <c r="S122" s="38">
        <f>IF($A122="","",IF($P122="","",IFERROR(INDEX('Opportunities'!$E$6:$E$205,MATCH($P122,'Opportunities'!$A$6:$A$205,0)),"")))</f>
        <v/>
      </c>
      <c r="T122" s="38">
        <f>IF($A122="","",IF($P122="","",IFERROR(INDEX('Opportunities'!$F$6:$F$205,MATCH($P122,'Opportunities'!$A$6:$A$205,0)),"")))</f>
        <v/>
      </c>
      <c r="U122" s="70">
        <f>IF($A122="","",IF($P122="","",IFERROR(INDEX('Opportunities'!$G$6:$G$205,MATCH($P122,'Opportunities'!$A$6:$A$205,0)),"")))</f>
        <v/>
      </c>
      <c r="V122" s="40">
        <f>IF($A122="","",IF($P122="","",IFERROR(INDEX('Opportunities'!$H$6:$H$205,MATCH($P122,'Opportunities'!$A$6:$A$205,0)),"")))</f>
        <v/>
      </c>
      <c r="W122" s="38">
        <f>IF($A122="","",IF($P122="","",IFERROR(INDEX('Opportunities'!$I$6:$I$205,MATCH($P122,'Opportunities'!$A$6:$A$205,0)),"")))</f>
        <v/>
      </c>
      <c r="X122" s="38">
        <f>IF($A122="","",IF($P122="","",IFERROR(INDEX('Opportunities'!$J$6:$J$205,MATCH($P122,'Opportunities'!$A$6:$A$205,0)),"")))</f>
        <v/>
      </c>
      <c r="Y122" s="70">
        <f>IF($A122="","",IF($P122="","",IFERROR(INDEX('Opportunities'!$K$6:$K$205,MATCH($P122,'Opportunities'!$A$6:$A$205,0)),"")))</f>
        <v/>
      </c>
      <c r="Z122" s="41">
        <f>IF($A122="","",IF($P122="","",IFERROR(INDEX('Opportunities'!$O$6:$O$205,MATCH($P122,'Opportunities'!$A$6:$A$205,0)),"")))</f>
        <v/>
      </c>
      <c r="AA122" s="41">
        <f>IF($A122="","",IF($P122="","",IFERROR(INDEX('Opportunities'!$P$6:$P$205,MATCH($P122,'Opportunities'!$A$6:$A$205,0)),"")))</f>
        <v/>
      </c>
      <c r="AB122" s="41">
        <f>IF($A122="","",IF($P122="","",IFERROR(INDEX('Opportunities'!$Q$6:$Q$205,MATCH($P122,'Opportunities'!$A$6:$A$205,0)),"")))</f>
        <v/>
      </c>
      <c r="AC122" s="71">
        <f>IF($A122="","",IF($P122="","",IFERROR(INDEX('Opportunities'!$Z$6:$Z$205,MATCH($P122,'Opportunities'!$A$6:$A$205,0)),"")))</f>
        <v/>
      </c>
      <c r="AD122" s="71">
        <f>IF($A122="","",IF($P122="","",IFERROR(INDEX('Opportunities'!$AJ$6:$AJ$205,MATCH($P122,'Opportunities'!$A$6:$A$205,0)),"")))</f>
        <v/>
      </c>
      <c r="AE122" s="72">
        <f>IF($A122="","",IF($P122="","",IFERROR(INDEX('Opportunities'!$AA$6:$AA$205,MATCH($P122,'Opportunities'!$A$6:$A$205,0)),"")))</f>
        <v/>
      </c>
      <c r="AF122" s="73">
        <f>IF($A122="","",IF($P122="","",IFERROR(INDEX('Opportunities'!$AF$6:$AF$205,MATCH($P122,'Opportunities'!$A$6:$A$205,0)),"")))</f>
        <v/>
      </c>
      <c r="AG122" s="41">
        <f>IF($A122="","",IF($P122="","",IFERROR(INDEX('Opportunities'!$AB$6:$AB$205,MATCH($P122,'Opportunities'!$A$6:$A$205,0)),"")))</f>
        <v/>
      </c>
      <c r="AH122" s="74">
        <f>IF($A122="","",IF($P122="","",IFERROR(($U122+$V122-$J122-$K122)*24,0)))</f>
        <v/>
      </c>
      <c r="AI122" s="38">
        <f>IF($A122="","",IF($P122="","No load selected",IF($AH122&lt;IFERROR($Z122/'Settings'!$B$11,0)+'Settings'!$B$12,"Too tight",IF($AH122&gt;'Settings'!$B$13,"Long wait","Feasible"))))</f>
        <v/>
      </c>
      <c r="AJ122" s="41">
        <f>IF($A122="","",IF($P122="","",$N122-$Z122-$AB122))</f>
        <v/>
      </c>
      <c r="AK122" s="38">
        <f>IF($A122="","",IF(COUNTIF($A$6:$A$205,$A122)&gt;1,"Duplicate Trip ID",IF($P122="","Open",IF(COUNTIF('Opportunities'!$A$6:$A$205,$P122)=0,"Load ID not found",IF(COUNTIFS('Opportunities'!$A$6:$A$205,$P122,'Opportunities'!$B$6:$B$205,$A122)=0,"Trip mismatch",IF(COUNTIF($P$6:$P$205,$P122)&gt;1,"Duplicate selection",IF(AND(OR($O122="Booked",$O122="Completed"),AND($Q122&lt;&gt;"Booked",$Q122&lt;&gt;"Completed")),"Status mismatch","OK")))))))</f>
        <v/>
      </c>
      <c r="AL122" s="46" t="n"/>
    </row>
    <row r="123">
      <c r="A123" s="34" t="n"/>
      <c r="B123" s="34" t="n"/>
      <c r="C123" s="34" t="n"/>
      <c r="D123" s="34" t="n"/>
      <c r="E123" s="34" t="n"/>
      <c r="F123" s="34" t="n"/>
      <c r="G123" s="34" t="n"/>
      <c r="H123" s="69" t="n"/>
      <c r="I123" s="36" t="n"/>
      <c r="J123" s="69" t="n"/>
      <c r="K123" s="36" t="n"/>
      <c r="L123" s="34" t="n"/>
      <c r="M123" s="34" t="n"/>
      <c r="N123" s="37" t="n"/>
      <c r="O123" s="34" t="n"/>
      <c r="P123" s="34" t="n"/>
      <c r="Q123" s="38">
        <f>IF($A123="","",IF($P123="","",IFERROR(INDEX('Opportunities'!$C$6:$C$205,MATCH($P123,'Opportunities'!$A$6:$A$205,0)),"")))</f>
        <v/>
      </c>
      <c r="R123" s="38">
        <f>IF($A123="","",IF($P123="","",IFERROR(INDEX('Opportunities'!$D$6:$D$205,MATCH($P123,'Opportunities'!$A$6:$A$205,0)),"")))</f>
        <v/>
      </c>
      <c r="S123" s="38">
        <f>IF($A123="","",IF($P123="","",IFERROR(INDEX('Opportunities'!$E$6:$E$205,MATCH($P123,'Opportunities'!$A$6:$A$205,0)),"")))</f>
        <v/>
      </c>
      <c r="T123" s="38">
        <f>IF($A123="","",IF($P123="","",IFERROR(INDEX('Opportunities'!$F$6:$F$205,MATCH($P123,'Opportunities'!$A$6:$A$205,0)),"")))</f>
        <v/>
      </c>
      <c r="U123" s="70">
        <f>IF($A123="","",IF($P123="","",IFERROR(INDEX('Opportunities'!$G$6:$G$205,MATCH($P123,'Opportunities'!$A$6:$A$205,0)),"")))</f>
        <v/>
      </c>
      <c r="V123" s="40">
        <f>IF($A123="","",IF($P123="","",IFERROR(INDEX('Opportunities'!$H$6:$H$205,MATCH($P123,'Opportunities'!$A$6:$A$205,0)),"")))</f>
        <v/>
      </c>
      <c r="W123" s="38">
        <f>IF($A123="","",IF($P123="","",IFERROR(INDEX('Opportunities'!$I$6:$I$205,MATCH($P123,'Opportunities'!$A$6:$A$205,0)),"")))</f>
        <v/>
      </c>
      <c r="X123" s="38">
        <f>IF($A123="","",IF($P123="","",IFERROR(INDEX('Opportunities'!$J$6:$J$205,MATCH($P123,'Opportunities'!$A$6:$A$205,0)),"")))</f>
        <v/>
      </c>
      <c r="Y123" s="70">
        <f>IF($A123="","",IF($P123="","",IFERROR(INDEX('Opportunities'!$K$6:$K$205,MATCH($P123,'Opportunities'!$A$6:$A$205,0)),"")))</f>
        <v/>
      </c>
      <c r="Z123" s="41">
        <f>IF($A123="","",IF($P123="","",IFERROR(INDEX('Opportunities'!$O$6:$O$205,MATCH($P123,'Opportunities'!$A$6:$A$205,0)),"")))</f>
        <v/>
      </c>
      <c r="AA123" s="41">
        <f>IF($A123="","",IF($P123="","",IFERROR(INDEX('Opportunities'!$P$6:$P$205,MATCH($P123,'Opportunities'!$A$6:$A$205,0)),"")))</f>
        <v/>
      </c>
      <c r="AB123" s="41">
        <f>IF($A123="","",IF($P123="","",IFERROR(INDEX('Opportunities'!$Q$6:$Q$205,MATCH($P123,'Opportunities'!$A$6:$A$205,0)),"")))</f>
        <v/>
      </c>
      <c r="AC123" s="71">
        <f>IF($A123="","",IF($P123="","",IFERROR(INDEX('Opportunities'!$Z$6:$Z$205,MATCH($P123,'Opportunities'!$A$6:$A$205,0)),"")))</f>
        <v/>
      </c>
      <c r="AD123" s="71">
        <f>IF($A123="","",IF($P123="","",IFERROR(INDEX('Opportunities'!$AJ$6:$AJ$205,MATCH($P123,'Opportunities'!$A$6:$A$205,0)),"")))</f>
        <v/>
      </c>
      <c r="AE123" s="72">
        <f>IF($A123="","",IF($P123="","",IFERROR(INDEX('Opportunities'!$AA$6:$AA$205,MATCH($P123,'Opportunities'!$A$6:$A$205,0)),"")))</f>
        <v/>
      </c>
      <c r="AF123" s="73">
        <f>IF($A123="","",IF($P123="","",IFERROR(INDEX('Opportunities'!$AF$6:$AF$205,MATCH($P123,'Opportunities'!$A$6:$A$205,0)),"")))</f>
        <v/>
      </c>
      <c r="AG123" s="41">
        <f>IF($A123="","",IF($P123="","",IFERROR(INDEX('Opportunities'!$AB$6:$AB$205,MATCH($P123,'Opportunities'!$A$6:$A$205,0)),"")))</f>
        <v/>
      </c>
      <c r="AH123" s="74">
        <f>IF($A123="","",IF($P123="","",IFERROR(($U123+$V123-$J123-$K123)*24,0)))</f>
        <v/>
      </c>
      <c r="AI123" s="38">
        <f>IF($A123="","",IF($P123="","No load selected",IF($AH123&lt;IFERROR($Z123/'Settings'!$B$11,0)+'Settings'!$B$12,"Too tight",IF($AH123&gt;'Settings'!$B$13,"Long wait","Feasible"))))</f>
        <v/>
      </c>
      <c r="AJ123" s="41">
        <f>IF($A123="","",IF($P123="","",$N123-$Z123-$AB123))</f>
        <v/>
      </c>
      <c r="AK123" s="38">
        <f>IF($A123="","",IF(COUNTIF($A$6:$A$205,$A123)&gt;1,"Duplicate Trip ID",IF($P123="","Open",IF(COUNTIF('Opportunities'!$A$6:$A$205,$P123)=0,"Load ID not found",IF(COUNTIFS('Opportunities'!$A$6:$A$205,$P123,'Opportunities'!$B$6:$B$205,$A123)=0,"Trip mismatch",IF(COUNTIF($P$6:$P$205,$P123)&gt;1,"Duplicate selection",IF(AND(OR($O123="Booked",$O123="Completed"),AND($Q123&lt;&gt;"Booked",$Q123&lt;&gt;"Completed")),"Status mismatch","OK")))))))</f>
        <v/>
      </c>
      <c r="AL123" s="46" t="n"/>
    </row>
    <row r="124">
      <c r="A124" s="34" t="n"/>
      <c r="B124" s="34" t="n"/>
      <c r="C124" s="34" t="n"/>
      <c r="D124" s="34" t="n"/>
      <c r="E124" s="34" t="n"/>
      <c r="F124" s="34" t="n"/>
      <c r="G124" s="34" t="n"/>
      <c r="H124" s="69" t="n"/>
      <c r="I124" s="36" t="n"/>
      <c r="J124" s="69" t="n"/>
      <c r="K124" s="36" t="n"/>
      <c r="L124" s="34" t="n"/>
      <c r="M124" s="34" t="n"/>
      <c r="N124" s="37" t="n"/>
      <c r="O124" s="34" t="n"/>
      <c r="P124" s="34" t="n"/>
      <c r="Q124" s="38">
        <f>IF($A124="","",IF($P124="","",IFERROR(INDEX('Opportunities'!$C$6:$C$205,MATCH($P124,'Opportunities'!$A$6:$A$205,0)),"")))</f>
        <v/>
      </c>
      <c r="R124" s="38">
        <f>IF($A124="","",IF($P124="","",IFERROR(INDEX('Opportunities'!$D$6:$D$205,MATCH($P124,'Opportunities'!$A$6:$A$205,0)),"")))</f>
        <v/>
      </c>
      <c r="S124" s="38">
        <f>IF($A124="","",IF($P124="","",IFERROR(INDEX('Opportunities'!$E$6:$E$205,MATCH($P124,'Opportunities'!$A$6:$A$205,0)),"")))</f>
        <v/>
      </c>
      <c r="T124" s="38">
        <f>IF($A124="","",IF($P124="","",IFERROR(INDEX('Opportunities'!$F$6:$F$205,MATCH($P124,'Opportunities'!$A$6:$A$205,0)),"")))</f>
        <v/>
      </c>
      <c r="U124" s="70">
        <f>IF($A124="","",IF($P124="","",IFERROR(INDEX('Opportunities'!$G$6:$G$205,MATCH($P124,'Opportunities'!$A$6:$A$205,0)),"")))</f>
        <v/>
      </c>
      <c r="V124" s="40">
        <f>IF($A124="","",IF($P124="","",IFERROR(INDEX('Opportunities'!$H$6:$H$205,MATCH($P124,'Opportunities'!$A$6:$A$205,0)),"")))</f>
        <v/>
      </c>
      <c r="W124" s="38">
        <f>IF($A124="","",IF($P124="","",IFERROR(INDEX('Opportunities'!$I$6:$I$205,MATCH($P124,'Opportunities'!$A$6:$A$205,0)),"")))</f>
        <v/>
      </c>
      <c r="X124" s="38">
        <f>IF($A124="","",IF($P124="","",IFERROR(INDEX('Opportunities'!$J$6:$J$205,MATCH($P124,'Opportunities'!$A$6:$A$205,0)),"")))</f>
        <v/>
      </c>
      <c r="Y124" s="70">
        <f>IF($A124="","",IF($P124="","",IFERROR(INDEX('Opportunities'!$K$6:$K$205,MATCH($P124,'Opportunities'!$A$6:$A$205,0)),"")))</f>
        <v/>
      </c>
      <c r="Z124" s="41">
        <f>IF($A124="","",IF($P124="","",IFERROR(INDEX('Opportunities'!$O$6:$O$205,MATCH($P124,'Opportunities'!$A$6:$A$205,0)),"")))</f>
        <v/>
      </c>
      <c r="AA124" s="41">
        <f>IF($A124="","",IF($P124="","",IFERROR(INDEX('Opportunities'!$P$6:$P$205,MATCH($P124,'Opportunities'!$A$6:$A$205,0)),"")))</f>
        <v/>
      </c>
      <c r="AB124" s="41">
        <f>IF($A124="","",IF($P124="","",IFERROR(INDEX('Opportunities'!$Q$6:$Q$205,MATCH($P124,'Opportunities'!$A$6:$A$205,0)),"")))</f>
        <v/>
      </c>
      <c r="AC124" s="71">
        <f>IF($A124="","",IF($P124="","",IFERROR(INDEX('Opportunities'!$Z$6:$Z$205,MATCH($P124,'Opportunities'!$A$6:$A$205,0)),"")))</f>
        <v/>
      </c>
      <c r="AD124" s="71">
        <f>IF($A124="","",IF($P124="","",IFERROR(INDEX('Opportunities'!$AJ$6:$AJ$205,MATCH($P124,'Opportunities'!$A$6:$A$205,0)),"")))</f>
        <v/>
      </c>
      <c r="AE124" s="72">
        <f>IF($A124="","",IF($P124="","",IFERROR(INDEX('Opportunities'!$AA$6:$AA$205,MATCH($P124,'Opportunities'!$A$6:$A$205,0)),"")))</f>
        <v/>
      </c>
      <c r="AF124" s="73">
        <f>IF($A124="","",IF($P124="","",IFERROR(INDEX('Opportunities'!$AF$6:$AF$205,MATCH($P124,'Opportunities'!$A$6:$A$205,0)),"")))</f>
        <v/>
      </c>
      <c r="AG124" s="41">
        <f>IF($A124="","",IF($P124="","",IFERROR(INDEX('Opportunities'!$AB$6:$AB$205,MATCH($P124,'Opportunities'!$A$6:$A$205,0)),"")))</f>
        <v/>
      </c>
      <c r="AH124" s="74">
        <f>IF($A124="","",IF($P124="","",IFERROR(($U124+$V124-$J124-$K124)*24,0)))</f>
        <v/>
      </c>
      <c r="AI124" s="38">
        <f>IF($A124="","",IF($P124="","No load selected",IF($AH124&lt;IFERROR($Z124/'Settings'!$B$11,0)+'Settings'!$B$12,"Too tight",IF($AH124&gt;'Settings'!$B$13,"Long wait","Feasible"))))</f>
        <v/>
      </c>
      <c r="AJ124" s="41">
        <f>IF($A124="","",IF($P124="","",$N124-$Z124-$AB124))</f>
        <v/>
      </c>
      <c r="AK124" s="38">
        <f>IF($A124="","",IF(COUNTIF($A$6:$A$205,$A124)&gt;1,"Duplicate Trip ID",IF($P124="","Open",IF(COUNTIF('Opportunities'!$A$6:$A$205,$P124)=0,"Load ID not found",IF(COUNTIFS('Opportunities'!$A$6:$A$205,$P124,'Opportunities'!$B$6:$B$205,$A124)=0,"Trip mismatch",IF(COUNTIF($P$6:$P$205,$P124)&gt;1,"Duplicate selection",IF(AND(OR($O124="Booked",$O124="Completed"),AND($Q124&lt;&gt;"Booked",$Q124&lt;&gt;"Completed")),"Status mismatch","OK")))))))</f>
        <v/>
      </c>
      <c r="AL124" s="46" t="n"/>
    </row>
    <row r="125">
      <c r="A125" s="34" t="n"/>
      <c r="B125" s="34" t="n"/>
      <c r="C125" s="34" t="n"/>
      <c r="D125" s="34" t="n"/>
      <c r="E125" s="34" t="n"/>
      <c r="F125" s="34" t="n"/>
      <c r="G125" s="34" t="n"/>
      <c r="H125" s="69" t="n"/>
      <c r="I125" s="36" t="n"/>
      <c r="J125" s="69" t="n"/>
      <c r="K125" s="36" t="n"/>
      <c r="L125" s="34" t="n"/>
      <c r="M125" s="34" t="n"/>
      <c r="N125" s="37" t="n"/>
      <c r="O125" s="34" t="n"/>
      <c r="P125" s="34" t="n"/>
      <c r="Q125" s="38">
        <f>IF($A125="","",IF($P125="","",IFERROR(INDEX('Opportunities'!$C$6:$C$205,MATCH($P125,'Opportunities'!$A$6:$A$205,0)),"")))</f>
        <v/>
      </c>
      <c r="R125" s="38">
        <f>IF($A125="","",IF($P125="","",IFERROR(INDEX('Opportunities'!$D$6:$D$205,MATCH($P125,'Opportunities'!$A$6:$A$205,0)),"")))</f>
        <v/>
      </c>
      <c r="S125" s="38">
        <f>IF($A125="","",IF($P125="","",IFERROR(INDEX('Opportunities'!$E$6:$E$205,MATCH($P125,'Opportunities'!$A$6:$A$205,0)),"")))</f>
        <v/>
      </c>
      <c r="T125" s="38">
        <f>IF($A125="","",IF($P125="","",IFERROR(INDEX('Opportunities'!$F$6:$F$205,MATCH($P125,'Opportunities'!$A$6:$A$205,0)),"")))</f>
        <v/>
      </c>
      <c r="U125" s="70">
        <f>IF($A125="","",IF($P125="","",IFERROR(INDEX('Opportunities'!$G$6:$G$205,MATCH($P125,'Opportunities'!$A$6:$A$205,0)),"")))</f>
        <v/>
      </c>
      <c r="V125" s="40">
        <f>IF($A125="","",IF($P125="","",IFERROR(INDEX('Opportunities'!$H$6:$H$205,MATCH($P125,'Opportunities'!$A$6:$A$205,0)),"")))</f>
        <v/>
      </c>
      <c r="W125" s="38">
        <f>IF($A125="","",IF($P125="","",IFERROR(INDEX('Opportunities'!$I$6:$I$205,MATCH($P125,'Opportunities'!$A$6:$A$205,0)),"")))</f>
        <v/>
      </c>
      <c r="X125" s="38">
        <f>IF($A125="","",IF($P125="","",IFERROR(INDEX('Opportunities'!$J$6:$J$205,MATCH($P125,'Opportunities'!$A$6:$A$205,0)),"")))</f>
        <v/>
      </c>
      <c r="Y125" s="70">
        <f>IF($A125="","",IF($P125="","",IFERROR(INDEX('Opportunities'!$K$6:$K$205,MATCH($P125,'Opportunities'!$A$6:$A$205,0)),"")))</f>
        <v/>
      </c>
      <c r="Z125" s="41">
        <f>IF($A125="","",IF($P125="","",IFERROR(INDEX('Opportunities'!$O$6:$O$205,MATCH($P125,'Opportunities'!$A$6:$A$205,0)),"")))</f>
        <v/>
      </c>
      <c r="AA125" s="41">
        <f>IF($A125="","",IF($P125="","",IFERROR(INDEX('Opportunities'!$P$6:$P$205,MATCH($P125,'Opportunities'!$A$6:$A$205,0)),"")))</f>
        <v/>
      </c>
      <c r="AB125" s="41">
        <f>IF($A125="","",IF($P125="","",IFERROR(INDEX('Opportunities'!$Q$6:$Q$205,MATCH($P125,'Opportunities'!$A$6:$A$205,0)),"")))</f>
        <v/>
      </c>
      <c r="AC125" s="71">
        <f>IF($A125="","",IF($P125="","",IFERROR(INDEX('Opportunities'!$Z$6:$Z$205,MATCH($P125,'Opportunities'!$A$6:$A$205,0)),"")))</f>
        <v/>
      </c>
      <c r="AD125" s="71">
        <f>IF($A125="","",IF($P125="","",IFERROR(INDEX('Opportunities'!$AJ$6:$AJ$205,MATCH($P125,'Opportunities'!$A$6:$A$205,0)),"")))</f>
        <v/>
      </c>
      <c r="AE125" s="72">
        <f>IF($A125="","",IF($P125="","",IFERROR(INDEX('Opportunities'!$AA$6:$AA$205,MATCH($P125,'Opportunities'!$A$6:$A$205,0)),"")))</f>
        <v/>
      </c>
      <c r="AF125" s="73">
        <f>IF($A125="","",IF($P125="","",IFERROR(INDEX('Opportunities'!$AF$6:$AF$205,MATCH($P125,'Opportunities'!$A$6:$A$205,0)),"")))</f>
        <v/>
      </c>
      <c r="AG125" s="41">
        <f>IF($A125="","",IF($P125="","",IFERROR(INDEX('Opportunities'!$AB$6:$AB$205,MATCH($P125,'Opportunities'!$A$6:$A$205,0)),"")))</f>
        <v/>
      </c>
      <c r="AH125" s="74">
        <f>IF($A125="","",IF($P125="","",IFERROR(($U125+$V125-$J125-$K125)*24,0)))</f>
        <v/>
      </c>
      <c r="AI125" s="38">
        <f>IF($A125="","",IF($P125="","No load selected",IF($AH125&lt;IFERROR($Z125/'Settings'!$B$11,0)+'Settings'!$B$12,"Too tight",IF($AH125&gt;'Settings'!$B$13,"Long wait","Feasible"))))</f>
        <v/>
      </c>
      <c r="AJ125" s="41">
        <f>IF($A125="","",IF($P125="","",$N125-$Z125-$AB125))</f>
        <v/>
      </c>
      <c r="AK125" s="38">
        <f>IF($A125="","",IF(COUNTIF($A$6:$A$205,$A125)&gt;1,"Duplicate Trip ID",IF($P125="","Open",IF(COUNTIF('Opportunities'!$A$6:$A$205,$P125)=0,"Load ID not found",IF(COUNTIFS('Opportunities'!$A$6:$A$205,$P125,'Opportunities'!$B$6:$B$205,$A125)=0,"Trip mismatch",IF(COUNTIF($P$6:$P$205,$P125)&gt;1,"Duplicate selection",IF(AND(OR($O125="Booked",$O125="Completed"),AND($Q125&lt;&gt;"Booked",$Q125&lt;&gt;"Completed")),"Status mismatch","OK")))))))</f>
        <v/>
      </c>
      <c r="AL125" s="46" t="n"/>
    </row>
    <row r="126">
      <c r="A126" s="34" t="n"/>
      <c r="B126" s="34" t="n"/>
      <c r="C126" s="34" t="n"/>
      <c r="D126" s="34" t="n"/>
      <c r="E126" s="34" t="n"/>
      <c r="F126" s="34" t="n"/>
      <c r="G126" s="34" t="n"/>
      <c r="H126" s="69" t="n"/>
      <c r="I126" s="36" t="n"/>
      <c r="J126" s="69" t="n"/>
      <c r="K126" s="36" t="n"/>
      <c r="L126" s="34" t="n"/>
      <c r="M126" s="34" t="n"/>
      <c r="N126" s="37" t="n"/>
      <c r="O126" s="34" t="n"/>
      <c r="P126" s="34" t="n"/>
      <c r="Q126" s="38">
        <f>IF($A126="","",IF($P126="","",IFERROR(INDEX('Opportunities'!$C$6:$C$205,MATCH($P126,'Opportunities'!$A$6:$A$205,0)),"")))</f>
        <v/>
      </c>
      <c r="R126" s="38">
        <f>IF($A126="","",IF($P126="","",IFERROR(INDEX('Opportunities'!$D$6:$D$205,MATCH($P126,'Opportunities'!$A$6:$A$205,0)),"")))</f>
        <v/>
      </c>
      <c r="S126" s="38">
        <f>IF($A126="","",IF($P126="","",IFERROR(INDEX('Opportunities'!$E$6:$E$205,MATCH($P126,'Opportunities'!$A$6:$A$205,0)),"")))</f>
        <v/>
      </c>
      <c r="T126" s="38">
        <f>IF($A126="","",IF($P126="","",IFERROR(INDEX('Opportunities'!$F$6:$F$205,MATCH($P126,'Opportunities'!$A$6:$A$205,0)),"")))</f>
        <v/>
      </c>
      <c r="U126" s="70">
        <f>IF($A126="","",IF($P126="","",IFERROR(INDEX('Opportunities'!$G$6:$G$205,MATCH($P126,'Opportunities'!$A$6:$A$205,0)),"")))</f>
        <v/>
      </c>
      <c r="V126" s="40">
        <f>IF($A126="","",IF($P126="","",IFERROR(INDEX('Opportunities'!$H$6:$H$205,MATCH($P126,'Opportunities'!$A$6:$A$205,0)),"")))</f>
        <v/>
      </c>
      <c r="W126" s="38">
        <f>IF($A126="","",IF($P126="","",IFERROR(INDEX('Opportunities'!$I$6:$I$205,MATCH($P126,'Opportunities'!$A$6:$A$205,0)),"")))</f>
        <v/>
      </c>
      <c r="X126" s="38">
        <f>IF($A126="","",IF($P126="","",IFERROR(INDEX('Opportunities'!$J$6:$J$205,MATCH($P126,'Opportunities'!$A$6:$A$205,0)),"")))</f>
        <v/>
      </c>
      <c r="Y126" s="70">
        <f>IF($A126="","",IF($P126="","",IFERROR(INDEX('Opportunities'!$K$6:$K$205,MATCH($P126,'Opportunities'!$A$6:$A$205,0)),"")))</f>
        <v/>
      </c>
      <c r="Z126" s="41">
        <f>IF($A126="","",IF($P126="","",IFERROR(INDEX('Opportunities'!$O$6:$O$205,MATCH($P126,'Opportunities'!$A$6:$A$205,0)),"")))</f>
        <v/>
      </c>
      <c r="AA126" s="41">
        <f>IF($A126="","",IF($P126="","",IFERROR(INDEX('Opportunities'!$P$6:$P$205,MATCH($P126,'Opportunities'!$A$6:$A$205,0)),"")))</f>
        <v/>
      </c>
      <c r="AB126" s="41">
        <f>IF($A126="","",IF($P126="","",IFERROR(INDEX('Opportunities'!$Q$6:$Q$205,MATCH($P126,'Opportunities'!$A$6:$A$205,0)),"")))</f>
        <v/>
      </c>
      <c r="AC126" s="71">
        <f>IF($A126="","",IF($P126="","",IFERROR(INDEX('Opportunities'!$Z$6:$Z$205,MATCH($P126,'Opportunities'!$A$6:$A$205,0)),"")))</f>
        <v/>
      </c>
      <c r="AD126" s="71">
        <f>IF($A126="","",IF($P126="","",IFERROR(INDEX('Opportunities'!$AJ$6:$AJ$205,MATCH($P126,'Opportunities'!$A$6:$A$205,0)),"")))</f>
        <v/>
      </c>
      <c r="AE126" s="72">
        <f>IF($A126="","",IF($P126="","",IFERROR(INDEX('Opportunities'!$AA$6:$AA$205,MATCH($P126,'Opportunities'!$A$6:$A$205,0)),"")))</f>
        <v/>
      </c>
      <c r="AF126" s="73">
        <f>IF($A126="","",IF($P126="","",IFERROR(INDEX('Opportunities'!$AF$6:$AF$205,MATCH($P126,'Opportunities'!$A$6:$A$205,0)),"")))</f>
        <v/>
      </c>
      <c r="AG126" s="41">
        <f>IF($A126="","",IF($P126="","",IFERROR(INDEX('Opportunities'!$AB$6:$AB$205,MATCH($P126,'Opportunities'!$A$6:$A$205,0)),"")))</f>
        <v/>
      </c>
      <c r="AH126" s="74">
        <f>IF($A126="","",IF($P126="","",IFERROR(($U126+$V126-$J126-$K126)*24,0)))</f>
        <v/>
      </c>
      <c r="AI126" s="38">
        <f>IF($A126="","",IF($P126="","No load selected",IF($AH126&lt;IFERROR($Z126/'Settings'!$B$11,0)+'Settings'!$B$12,"Too tight",IF($AH126&gt;'Settings'!$B$13,"Long wait","Feasible"))))</f>
        <v/>
      </c>
      <c r="AJ126" s="41">
        <f>IF($A126="","",IF($P126="","",$N126-$Z126-$AB126))</f>
        <v/>
      </c>
      <c r="AK126" s="38">
        <f>IF($A126="","",IF(COUNTIF($A$6:$A$205,$A126)&gt;1,"Duplicate Trip ID",IF($P126="","Open",IF(COUNTIF('Opportunities'!$A$6:$A$205,$P126)=0,"Load ID not found",IF(COUNTIFS('Opportunities'!$A$6:$A$205,$P126,'Opportunities'!$B$6:$B$205,$A126)=0,"Trip mismatch",IF(COUNTIF($P$6:$P$205,$P126)&gt;1,"Duplicate selection",IF(AND(OR($O126="Booked",$O126="Completed"),AND($Q126&lt;&gt;"Booked",$Q126&lt;&gt;"Completed")),"Status mismatch","OK")))))))</f>
        <v/>
      </c>
      <c r="AL126" s="46" t="n"/>
    </row>
    <row r="127">
      <c r="A127" s="34" t="n"/>
      <c r="B127" s="34" t="n"/>
      <c r="C127" s="34" t="n"/>
      <c r="D127" s="34" t="n"/>
      <c r="E127" s="34" t="n"/>
      <c r="F127" s="34" t="n"/>
      <c r="G127" s="34" t="n"/>
      <c r="H127" s="69" t="n"/>
      <c r="I127" s="36" t="n"/>
      <c r="J127" s="69" t="n"/>
      <c r="K127" s="36" t="n"/>
      <c r="L127" s="34" t="n"/>
      <c r="M127" s="34" t="n"/>
      <c r="N127" s="37" t="n"/>
      <c r="O127" s="34" t="n"/>
      <c r="P127" s="34" t="n"/>
      <c r="Q127" s="38">
        <f>IF($A127="","",IF($P127="","",IFERROR(INDEX('Opportunities'!$C$6:$C$205,MATCH($P127,'Opportunities'!$A$6:$A$205,0)),"")))</f>
        <v/>
      </c>
      <c r="R127" s="38">
        <f>IF($A127="","",IF($P127="","",IFERROR(INDEX('Opportunities'!$D$6:$D$205,MATCH($P127,'Opportunities'!$A$6:$A$205,0)),"")))</f>
        <v/>
      </c>
      <c r="S127" s="38">
        <f>IF($A127="","",IF($P127="","",IFERROR(INDEX('Opportunities'!$E$6:$E$205,MATCH($P127,'Opportunities'!$A$6:$A$205,0)),"")))</f>
        <v/>
      </c>
      <c r="T127" s="38">
        <f>IF($A127="","",IF($P127="","",IFERROR(INDEX('Opportunities'!$F$6:$F$205,MATCH($P127,'Opportunities'!$A$6:$A$205,0)),"")))</f>
        <v/>
      </c>
      <c r="U127" s="70">
        <f>IF($A127="","",IF($P127="","",IFERROR(INDEX('Opportunities'!$G$6:$G$205,MATCH($P127,'Opportunities'!$A$6:$A$205,0)),"")))</f>
        <v/>
      </c>
      <c r="V127" s="40">
        <f>IF($A127="","",IF($P127="","",IFERROR(INDEX('Opportunities'!$H$6:$H$205,MATCH($P127,'Opportunities'!$A$6:$A$205,0)),"")))</f>
        <v/>
      </c>
      <c r="W127" s="38">
        <f>IF($A127="","",IF($P127="","",IFERROR(INDEX('Opportunities'!$I$6:$I$205,MATCH($P127,'Opportunities'!$A$6:$A$205,0)),"")))</f>
        <v/>
      </c>
      <c r="X127" s="38">
        <f>IF($A127="","",IF($P127="","",IFERROR(INDEX('Opportunities'!$J$6:$J$205,MATCH($P127,'Opportunities'!$A$6:$A$205,0)),"")))</f>
        <v/>
      </c>
      <c r="Y127" s="70">
        <f>IF($A127="","",IF($P127="","",IFERROR(INDEX('Opportunities'!$K$6:$K$205,MATCH($P127,'Opportunities'!$A$6:$A$205,0)),"")))</f>
        <v/>
      </c>
      <c r="Z127" s="41">
        <f>IF($A127="","",IF($P127="","",IFERROR(INDEX('Opportunities'!$O$6:$O$205,MATCH($P127,'Opportunities'!$A$6:$A$205,0)),"")))</f>
        <v/>
      </c>
      <c r="AA127" s="41">
        <f>IF($A127="","",IF($P127="","",IFERROR(INDEX('Opportunities'!$P$6:$P$205,MATCH($P127,'Opportunities'!$A$6:$A$205,0)),"")))</f>
        <v/>
      </c>
      <c r="AB127" s="41">
        <f>IF($A127="","",IF($P127="","",IFERROR(INDEX('Opportunities'!$Q$6:$Q$205,MATCH($P127,'Opportunities'!$A$6:$A$205,0)),"")))</f>
        <v/>
      </c>
      <c r="AC127" s="71">
        <f>IF($A127="","",IF($P127="","",IFERROR(INDEX('Opportunities'!$Z$6:$Z$205,MATCH($P127,'Opportunities'!$A$6:$A$205,0)),"")))</f>
        <v/>
      </c>
      <c r="AD127" s="71">
        <f>IF($A127="","",IF($P127="","",IFERROR(INDEX('Opportunities'!$AJ$6:$AJ$205,MATCH($P127,'Opportunities'!$A$6:$A$205,0)),"")))</f>
        <v/>
      </c>
      <c r="AE127" s="72">
        <f>IF($A127="","",IF($P127="","",IFERROR(INDEX('Opportunities'!$AA$6:$AA$205,MATCH($P127,'Opportunities'!$A$6:$A$205,0)),"")))</f>
        <v/>
      </c>
      <c r="AF127" s="73">
        <f>IF($A127="","",IF($P127="","",IFERROR(INDEX('Opportunities'!$AF$6:$AF$205,MATCH($P127,'Opportunities'!$A$6:$A$205,0)),"")))</f>
        <v/>
      </c>
      <c r="AG127" s="41">
        <f>IF($A127="","",IF($P127="","",IFERROR(INDEX('Opportunities'!$AB$6:$AB$205,MATCH($P127,'Opportunities'!$A$6:$A$205,0)),"")))</f>
        <v/>
      </c>
      <c r="AH127" s="74">
        <f>IF($A127="","",IF($P127="","",IFERROR(($U127+$V127-$J127-$K127)*24,0)))</f>
        <v/>
      </c>
      <c r="AI127" s="38">
        <f>IF($A127="","",IF($P127="","No load selected",IF($AH127&lt;IFERROR($Z127/'Settings'!$B$11,0)+'Settings'!$B$12,"Too tight",IF($AH127&gt;'Settings'!$B$13,"Long wait","Feasible"))))</f>
        <v/>
      </c>
      <c r="AJ127" s="41">
        <f>IF($A127="","",IF($P127="","",$N127-$Z127-$AB127))</f>
        <v/>
      </c>
      <c r="AK127" s="38">
        <f>IF($A127="","",IF(COUNTIF($A$6:$A$205,$A127)&gt;1,"Duplicate Trip ID",IF($P127="","Open",IF(COUNTIF('Opportunities'!$A$6:$A$205,$P127)=0,"Load ID not found",IF(COUNTIFS('Opportunities'!$A$6:$A$205,$P127,'Opportunities'!$B$6:$B$205,$A127)=0,"Trip mismatch",IF(COUNTIF($P$6:$P$205,$P127)&gt;1,"Duplicate selection",IF(AND(OR($O127="Booked",$O127="Completed"),AND($Q127&lt;&gt;"Booked",$Q127&lt;&gt;"Completed")),"Status mismatch","OK")))))))</f>
        <v/>
      </c>
      <c r="AL127" s="46" t="n"/>
    </row>
    <row r="128">
      <c r="A128" s="34" t="n"/>
      <c r="B128" s="34" t="n"/>
      <c r="C128" s="34" t="n"/>
      <c r="D128" s="34" t="n"/>
      <c r="E128" s="34" t="n"/>
      <c r="F128" s="34" t="n"/>
      <c r="G128" s="34" t="n"/>
      <c r="H128" s="69" t="n"/>
      <c r="I128" s="36" t="n"/>
      <c r="J128" s="69" t="n"/>
      <c r="K128" s="36" t="n"/>
      <c r="L128" s="34" t="n"/>
      <c r="M128" s="34" t="n"/>
      <c r="N128" s="37" t="n"/>
      <c r="O128" s="34" t="n"/>
      <c r="P128" s="34" t="n"/>
      <c r="Q128" s="38">
        <f>IF($A128="","",IF($P128="","",IFERROR(INDEX('Opportunities'!$C$6:$C$205,MATCH($P128,'Opportunities'!$A$6:$A$205,0)),"")))</f>
        <v/>
      </c>
      <c r="R128" s="38">
        <f>IF($A128="","",IF($P128="","",IFERROR(INDEX('Opportunities'!$D$6:$D$205,MATCH($P128,'Opportunities'!$A$6:$A$205,0)),"")))</f>
        <v/>
      </c>
      <c r="S128" s="38">
        <f>IF($A128="","",IF($P128="","",IFERROR(INDEX('Opportunities'!$E$6:$E$205,MATCH($P128,'Opportunities'!$A$6:$A$205,0)),"")))</f>
        <v/>
      </c>
      <c r="T128" s="38">
        <f>IF($A128="","",IF($P128="","",IFERROR(INDEX('Opportunities'!$F$6:$F$205,MATCH($P128,'Opportunities'!$A$6:$A$205,0)),"")))</f>
        <v/>
      </c>
      <c r="U128" s="70">
        <f>IF($A128="","",IF($P128="","",IFERROR(INDEX('Opportunities'!$G$6:$G$205,MATCH($P128,'Opportunities'!$A$6:$A$205,0)),"")))</f>
        <v/>
      </c>
      <c r="V128" s="40">
        <f>IF($A128="","",IF($P128="","",IFERROR(INDEX('Opportunities'!$H$6:$H$205,MATCH($P128,'Opportunities'!$A$6:$A$205,0)),"")))</f>
        <v/>
      </c>
      <c r="W128" s="38">
        <f>IF($A128="","",IF($P128="","",IFERROR(INDEX('Opportunities'!$I$6:$I$205,MATCH($P128,'Opportunities'!$A$6:$A$205,0)),"")))</f>
        <v/>
      </c>
      <c r="X128" s="38">
        <f>IF($A128="","",IF($P128="","",IFERROR(INDEX('Opportunities'!$J$6:$J$205,MATCH($P128,'Opportunities'!$A$6:$A$205,0)),"")))</f>
        <v/>
      </c>
      <c r="Y128" s="70">
        <f>IF($A128="","",IF($P128="","",IFERROR(INDEX('Opportunities'!$K$6:$K$205,MATCH($P128,'Opportunities'!$A$6:$A$205,0)),"")))</f>
        <v/>
      </c>
      <c r="Z128" s="41">
        <f>IF($A128="","",IF($P128="","",IFERROR(INDEX('Opportunities'!$O$6:$O$205,MATCH($P128,'Opportunities'!$A$6:$A$205,0)),"")))</f>
        <v/>
      </c>
      <c r="AA128" s="41">
        <f>IF($A128="","",IF($P128="","",IFERROR(INDEX('Opportunities'!$P$6:$P$205,MATCH($P128,'Opportunities'!$A$6:$A$205,0)),"")))</f>
        <v/>
      </c>
      <c r="AB128" s="41">
        <f>IF($A128="","",IF($P128="","",IFERROR(INDEX('Opportunities'!$Q$6:$Q$205,MATCH($P128,'Opportunities'!$A$6:$A$205,0)),"")))</f>
        <v/>
      </c>
      <c r="AC128" s="71">
        <f>IF($A128="","",IF($P128="","",IFERROR(INDEX('Opportunities'!$Z$6:$Z$205,MATCH($P128,'Opportunities'!$A$6:$A$205,0)),"")))</f>
        <v/>
      </c>
      <c r="AD128" s="71">
        <f>IF($A128="","",IF($P128="","",IFERROR(INDEX('Opportunities'!$AJ$6:$AJ$205,MATCH($P128,'Opportunities'!$A$6:$A$205,0)),"")))</f>
        <v/>
      </c>
      <c r="AE128" s="72">
        <f>IF($A128="","",IF($P128="","",IFERROR(INDEX('Opportunities'!$AA$6:$AA$205,MATCH($P128,'Opportunities'!$A$6:$A$205,0)),"")))</f>
        <v/>
      </c>
      <c r="AF128" s="73">
        <f>IF($A128="","",IF($P128="","",IFERROR(INDEX('Opportunities'!$AF$6:$AF$205,MATCH($P128,'Opportunities'!$A$6:$A$205,0)),"")))</f>
        <v/>
      </c>
      <c r="AG128" s="41">
        <f>IF($A128="","",IF($P128="","",IFERROR(INDEX('Opportunities'!$AB$6:$AB$205,MATCH($P128,'Opportunities'!$A$6:$A$205,0)),"")))</f>
        <v/>
      </c>
      <c r="AH128" s="74">
        <f>IF($A128="","",IF($P128="","",IFERROR(($U128+$V128-$J128-$K128)*24,0)))</f>
        <v/>
      </c>
      <c r="AI128" s="38">
        <f>IF($A128="","",IF($P128="","No load selected",IF($AH128&lt;IFERROR($Z128/'Settings'!$B$11,0)+'Settings'!$B$12,"Too tight",IF($AH128&gt;'Settings'!$B$13,"Long wait","Feasible"))))</f>
        <v/>
      </c>
      <c r="AJ128" s="41">
        <f>IF($A128="","",IF($P128="","",$N128-$Z128-$AB128))</f>
        <v/>
      </c>
      <c r="AK128" s="38">
        <f>IF($A128="","",IF(COUNTIF($A$6:$A$205,$A128)&gt;1,"Duplicate Trip ID",IF($P128="","Open",IF(COUNTIF('Opportunities'!$A$6:$A$205,$P128)=0,"Load ID not found",IF(COUNTIFS('Opportunities'!$A$6:$A$205,$P128,'Opportunities'!$B$6:$B$205,$A128)=0,"Trip mismatch",IF(COUNTIF($P$6:$P$205,$P128)&gt;1,"Duplicate selection",IF(AND(OR($O128="Booked",$O128="Completed"),AND($Q128&lt;&gt;"Booked",$Q128&lt;&gt;"Completed")),"Status mismatch","OK")))))))</f>
        <v/>
      </c>
      <c r="AL128" s="46" t="n"/>
    </row>
    <row r="129">
      <c r="A129" s="34" t="n"/>
      <c r="B129" s="34" t="n"/>
      <c r="C129" s="34" t="n"/>
      <c r="D129" s="34" t="n"/>
      <c r="E129" s="34" t="n"/>
      <c r="F129" s="34" t="n"/>
      <c r="G129" s="34" t="n"/>
      <c r="H129" s="69" t="n"/>
      <c r="I129" s="36" t="n"/>
      <c r="J129" s="69" t="n"/>
      <c r="K129" s="36" t="n"/>
      <c r="L129" s="34" t="n"/>
      <c r="M129" s="34" t="n"/>
      <c r="N129" s="37" t="n"/>
      <c r="O129" s="34" t="n"/>
      <c r="P129" s="34" t="n"/>
      <c r="Q129" s="38">
        <f>IF($A129="","",IF($P129="","",IFERROR(INDEX('Opportunities'!$C$6:$C$205,MATCH($P129,'Opportunities'!$A$6:$A$205,0)),"")))</f>
        <v/>
      </c>
      <c r="R129" s="38">
        <f>IF($A129="","",IF($P129="","",IFERROR(INDEX('Opportunities'!$D$6:$D$205,MATCH($P129,'Opportunities'!$A$6:$A$205,0)),"")))</f>
        <v/>
      </c>
      <c r="S129" s="38">
        <f>IF($A129="","",IF($P129="","",IFERROR(INDEX('Opportunities'!$E$6:$E$205,MATCH($P129,'Opportunities'!$A$6:$A$205,0)),"")))</f>
        <v/>
      </c>
      <c r="T129" s="38">
        <f>IF($A129="","",IF($P129="","",IFERROR(INDEX('Opportunities'!$F$6:$F$205,MATCH($P129,'Opportunities'!$A$6:$A$205,0)),"")))</f>
        <v/>
      </c>
      <c r="U129" s="70">
        <f>IF($A129="","",IF($P129="","",IFERROR(INDEX('Opportunities'!$G$6:$G$205,MATCH($P129,'Opportunities'!$A$6:$A$205,0)),"")))</f>
        <v/>
      </c>
      <c r="V129" s="40">
        <f>IF($A129="","",IF($P129="","",IFERROR(INDEX('Opportunities'!$H$6:$H$205,MATCH($P129,'Opportunities'!$A$6:$A$205,0)),"")))</f>
        <v/>
      </c>
      <c r="W129" s="38">
        <f>IF($A129="","",IF($P129="","",IFERROR(INDEX('Opportunities'!$I$6:$I$205,MATCH($P129,'Opportunities'!$A$6:$A$205,0)),"")))</f>
        <v/>
      </c>
      <c r="X129" s="38">
        <f>IF($A129="","",IF($P129="","",IFERROR(INDEX('Opportunities'!$J$6:$J$205,MATCH($P129,'Opportunities'!$A$6:$A$205,0)),"")))</f>
        <v/>
      </c>
      <c r="Y129" s="70">
        <f>IF($A129="","",IF($P129="","",IFERROR(INDEX('Opportunities'!$K$6:$K$205,MATCH($P129,'Opportunities'!$A$6:$A$205,0)),"")))</f>
        <v/>
      </c>
      <c r="Z129" s="41">
        <f>IF($A129="","",IF($P129="","",IFERROR(INDEX('Opportunities'!$O$6:$O$205,MATCH($P129,'Opportunities'!$A$6:$A$205,0)),"")))</f>
        <v/>
      </c>
      <c r="AA129" s="41">
        <f>IF($A129="","",IF($P129="","",IFERROR(INDEX('Opportunities'!$P$6:$P$205,MATCH($P129,'Opportunities'!$A$6:$A$205,0)),"")))</f>
        <v/>
      </c>
      <c r="AB129" s="41">
        <f>IF($A129="","",IF($P129="","",IFERROR(INDEX('Opportunities'!$Q$6:$Q$205,MATCH($P129,'Opportunities'!$A$6:$A$205,0)),"")))</f>
        <v/>
      </c>
      <c r="AC129" s="71">
        <f>IF($A129="","",IF($P129="","",IFERROR(INDEX('Opportunities'!$Z$6:$Z$205,MATCH($P129,'Opportunities'!$A$6:$A$205,0)),"")))</f>
        <v/>
      </c>
      <c r="AD129" s="71">
        <f>IF($A129="","",IF($P129="","",IFERROR(INDEX('Opportunities'!$AJ$6:$AJ$205,MATCH($P129,'Opportunities'!$A$6:$A$205,0)),"")))</f>
        <v/>
      </c>
      <c r="AE129" s="72">
        <f>IF($A129="","",IF($P129="","",IFERROR(INDEX('Opportunities'!$AA$6:$AA$205,MATCH($P129,'Opportunities'!$A$6:$A$205,0)),"")))</f>
        <v/>
      </c>
      <c r="AF129" s="73">
        <f>IF($A129="","",IF($P129="","",IFERROR(INDEX('Opportunities'!$AF$6:$AF$205,MATCH($P129,'Opportunities'!$A$6:$A$205,0)),"")))</f>
        <v/>
      </c>
      <c r="AG129" s="41">
        <f>IF($A129="","",IF($P129="","",IFERROR(INDEX('Opportunities'!$AB$6:$AB$205,MATCH($P129,'Opportunities'!$A$6:$A$205,0)),"")))</f>
        <v/>
      </c>
      <c r="AH129" s="74">
        <f>IF($A129="","",IF($P129="","",IFERROR(($U129+$V129-$J129-$K129)*24,0)))</f>
        <v/>
      </c>
      <c r="AI129" s="38">
        <f>IF($A129="","",IF($P129="","No load selected",IF($AH129&lt;IFERROR($Z129/'Settings'!$B$11,0)+'Settings'!$B$12,"Too tight",IF($AH129&gt;'Settings'!$B$13,"Long wait","Feasible"))))</f>
        <v/>
      </c>
      <c r="AJ129" s="41">
        <f>IF($A129="","",IF($P129="","",$N129-$Z129-$AB129))</f>
        <v/>
      </c>
      <c r="AK129" s="38">
        <f>IF($A129="","",IF(COUNTIF($A$6:$A$205,$A129)&gt;1,"Duplicate Trip ID",IF($P129="","Open",IF(COUNTIF('Opportunities'!$A$6:$A$205,$P129)=0,"Load ID not found",IF(COUNTIFS('Opportunities'!$A$6:$A$205,$P129,'Opportunities'!$B$6:$B$205,$A129)=0,"Trip mismatch",IF(COUNTIF($P$6:$P$205,$P129)&gt;1,"Duplicate selection",IF(AND(OR($O129="Booked",$O129="Completed"),AND($Q129&lt;&gt;"Booked",$Q129&lt;&gt;"Completed")),"Status mismatch","OK")))))))</f>
        <v/>
      </c>
      <c r="AL129" s="46" t="n"/>
    </row>
    <row r="130">
      <c r="A130" s="34" t="n"/>
      <c r="B130" s="34" t="n"/>
      <c r="C130" s="34" t="n"/>
      <c r="D130" s="34" t="n"/>
      <c r="E130" s="34" t="n"/>
      <c r="F130" s="34" t="n"/>
      <c r="G130" s="34" t="n"/>
      <c r="H130" s="69" t="n"/>
      <c r="I130" s="36" t="n"/>
      <c r="J130" s="69" t="n"/>
      <c r="K130" s="36" t="n"/>
      <c r="L130" s="34" t="n"/>
      <c r="M130" s="34" t="n"/>
      <c r="N130" s="37" t="n"/>
      <c r="O130" s="34" t="n"/>
      <c r="P130" s="34" t="n"/>
      <c r="Q130" s="38">
        <f>IF($A130="","",IF($P130="","",IFERROR(INDEX('Opportunities'!$C$6:$C$205,MATCH($P130,'Opportunities'!$A$6:$A$205,0)),"")))</f>
        <v/>
      </c>
      <c r="R130" s="38">
        <f>IF($A130="","",IF($P130="","",IFERROR(INDEX('Opportunities'!$D$6:$D$205,MATCH($P130,'Opportunities'!$A$6:$A$205,0)),"")))</f>
        <v/>
      </c>
      <c r="S130" s="38">
        <f>IF($A130="","",IF($P130="","",IFERROR(INDEX('Opportunities'!$E$6:$E$205,MATCH($P130,'Opportunities'!$A$6:$A$205,0)),"")))</f>
        <v/>
      </c>
      <c r="T130" s="38">
        <f>IF($A130="","",IF($P130="","",IFERROR(INDEX('Opportunities'!$F$6:$F$205,MATCH($P130,'Opportunities'!$A$6:$A$205,0)),"")))</f>
        <v/>
      </c>
      <c r="U130" s="70">
        <f>IF($A130="","",IF($P130="","",IFERROR(INDEX('Opportunities'!$G$6:$G$205,MATCH($P130,'Opportunities'!$A$6:$A$205,0)),"")))</f>
        <v/>
      </c>
      <c r="V130" s="40">
        <f>IF($A130="","",IF($P130="","",IFERROR(INDEX('Opportunities'!$H$6:$H$205,MATCH($P130,'Opportunities'!$A$6:$A$205,0)),"")))</f>
        <v/>
      </c>
      <c r="W130" s="38">
        <f>IF($A130="","",IF($P130="","",IFERROR(INDEX('Opportunities'!$I$6:$I$205,MATCH($P130,'Opportunities'!$A$6:$A$205,0)),"")))</f>
        <v/>
      </c>
      <c r="X130" s="38">
        <f>IF($A130="","",IF($P130="","",IFERROR(INDEX('Opportunities'!$J$6:$J$205,MATCH($P130,'Opportunities'!$A$6:$A$205,0)),"")))</f>
        <v/>
      </c>
      <c r="Y130" s="70">
        <f>IF($A130="","",IF($P130="","",IFERROR(INDEX('Opportunities'!$K$6:$K$205,MATCH($P130,'Opportunities'!$A$6:$A$205,0)),"")))</f>
        <v/>
      </c>
      <c r="Z130" s="41">
        <f>IF($A130="","",IF($P130="","",IFERROR(INDEX('Opportunities'!$O$6:$O$205,MATCH($P130,'Opportunities'!$A$6:$A$205,0)),"")))</f>
        <v/>
      </c>
      <c r="AA130" s="41">
        <f>IF($A130="","",IF($P130="","",IFERROR(INDEX('Opportunities'!$P$6:$P$205,MATCH($P130,'Opportunities'!$A$6:$A$205,0)),"")))</f>
        <v/>
      </c>
      <c r="AB130" s="41">
        <f>IF($A130="","",IF($P130="","",IFERROR(INDEX('Opportunities'!$Q$6:$Q$205,MATCH($P130,'Opportunities'!$A$6:$A$205,0)),"")))</f>
        <v/>
      </c>
      <c r="AC130" s="71">
        <f>IF($A130="","",IF($P130="","",IFERROR(INDEX('Opportunities'!$Z$6:$Z$205,MATCH($P130,'Opportunities'!$A$6:$A$205,0)),"")))</f>
        <v/>
      </c>
      <c r="AD130" s="71">
        <f>IF($A130="","",IF($P130="","",IFERROR(INDEX('Opportunities'!$AJ$6:$AJ$205,MATCH($P130,'Opportunities'!$A$6:$A$205,0)),"")))</f>
        <v/>
      </c>
      <c r="AE130" s="72">
        <f>IF($A130="","",IF($P130="","",IFERROR(INDEX('Opportunities'!$AA$6:$AA$205,MATCH($P130,'Opportunities'!$A$6:$A$205,0)),"")))</f>
        <v/>
      </c>
      <c r="AF130" s="73">
        <f>IF($A130="","",IF($P130="","",IFERROR(INDEX('Opportunities'!$AF$6:$AF$205,MATCH($P130,'Opportunities'!$A$6:$A$205,0)),"")))</f>
        <v/>
      </c>
      <c r="AG130" s="41">
        <f>IF($A130="","",IF($P130="","",IFERROR(INDEX('Opportunities'!$AB$6:$AB$205,MATCH($P130,'Opportunities'!$A$6:$A$205,0)),"")))</f>
        <v/>
      </c>
      <c r="AH130" s="74">
        <f>IF($A130="","",IF($P130="","",IFERROR(($U130+$V130-$J130-$K130)*24,0)))</f>
        <v/>
      </c>
      <c r="AI130" s="38">
        <f>IF($A130="","",IF($P130="","No load selected",IF($AH130&lt;IFERROR($Z130/'Settings'!$B$11,0)+'Settings'!$B$12,"Too tight",IF($AH130&gt;'Settings'!$B$13,"Long wait","Feasible"))))</f>
        <v/>
      </c>
      <c r="AJ130" s="41">
        <f>IF($A130="","",IF($P130="","",$N130-$Z130-$AB130))</f>
        <v/>
      </c>
      <c r="AK130" s="38">
        <f>IF($A130="","",IF(COUNTIF($A$6:$A$205,$A130)&gt;1,"Duplicate Trip ID",IF($P130="","Open",IF(COUNTIF('Opportunities'!$A$6:$A$205,$P130)=0,"Load ID not found",IF(COUNTIFS('Opportunities'!$A$6:$A$205,$P130,'Opportunities'!$B$6:$B$205,$A130)=0,"Trip mismatch",IF(COUNTIF($P$6:$P$205,$P130)&gt;1,"Duplicate selection",IF(AND(OR($O130="Booked",$O130="Completed"),AND($Q130&lt;&gt;"Booked",$Q130&lt;&gt;"Completed")),"Status mismatch","OK")))))))</f>
        <v/>
      </c>
      <c r="AL130" s="46" t="n"/>
    </row>
    <row r="131">
      <c r="A131" s="34" t="n"/>
      <c r="B131" s="34" t="n"/>
      <c r="C131" s="34" t="n"/>
      <c r="D131" s="34" t="n"/>
      <c r="E131" s="34" t="n"/>
      <c r="F131" s="34" t="n"/>
      <c r="G131" s="34" t="n"/>
      <c r="H131" s="69" t="n"/>
      <c r="I131" s="36" t="n"/>
      <c r="J131" s="69" t="n"/>
      <c r="K131" s="36" t="n"/>
      <c r="L131" s="34" t="n"/>
      <c r="M131" s="34" t="n"/>
      <c r="N131" s="37" t="n"/>
      <c r="O131" s="34" t="n"/>
      <c r="P131" s="34" t="n"/>
      <c r="Q131" s="38">
        <f>IF($A131="","",IF($P131="","",IFERROR(INDEX('Opportunities'!$C$6:$C$205,MATCH($P131,'Opportunities'!$A$6:$A$205,0)),"")))</f>
        <v/>
      </c>
      <c r="R131" s="38">
        <f>IF($A131="","",IF($P131="","",IFERROR(INDEX('Opportunities'!$D$6:$D$205,MATCH($P131,'Opportunities'!$A$6:$A$205,0)),"")))</f>
        <v/>
      </c>
      <c r="S131" s="38">
        <f>IF($A131="","",IF($P131="","",IFERROR(INDEX('Opportunities'!$E$6:$E$205,MATCH($P131,'Opportunities'!$A$6:$A$205,0)),"")))</f>
        <v/>
      </c>
      <c r="T131" s="38">
        <f>IF($A131="","",IF($P131="","",IFERROR(INDEX('Opportunities'!$F$6:$F$205,MATCH($P131,'Opportunities'!$A$6:$A$205,0)),"")))</f>
        <v/>
      </c>
      <c r="U131" s="70">
        <f>IF($A131="","",IF($P131="","",IFERROR(INDEX('Opportunities'!$G$6:$G$205,MATCH($P131,'Opportunities'!$A$6:$A$205,0)),"")))</f>
        <v/>
      </c>
      <c r="V131" s="40">
        <f>IF($A131="","",IF($P131="","",IFERROR(INDEX('Opportunities'!$H$6:$H$205,MATCH($P131,'Opportunities'!$A$6:$A$205,0)),"")))</f>
        <v/>
      </c>
      <c r="W131" s="38">
        <f>IF($A131="","",IF($P131="","",IFERROR(INDEX('Opportunities'!$I$6:$I$205,MATCH($P131,'Opportunities'!$A$6:$A$205,0)),"")))</f>
        <v/>
      </c>
      <c r="X131" s="38">
        <f>IF($A131="","",IF($P131="","",IFERROR(INDEX('Opportunities'!$J$6:$J$205,MATCH($P131,'Opportunities'!$A$6:$A$205,0)),"")))</f>
        <v/>
      </c>
      <c r="Y131" s="70">
        <f>IF($A131="","",IF($P131="","",IFERROR(INDEX('Opportunities'!$K$6:$K$205,MATCH($P131,'Opportunities'!$A$6:$A$205,0)),"")))</f>
        <v/>
      </c>
      <c r="Z131" s="41">
        <f>IF($A131="","",IF($P131="","",IFERROR(INDEX('Opportunities'!$O$6:$O$205,MATCH($P131,'Opportunities'!$A$6:$A$205,0)),"")))</f>
        <v/>
      </c>
      <c r="AA131" s="41">
        <f>IF($A131="","",IF($P131="","",IFERROR(INDEX('Opportunities'!$P$6:$P$205,MATCH($P131,'Opportunities'!$A$6:$A$205,0)),"")))</f>
        <v/>
      </c>
      <c r="AB131" s="41">
        <f>IF($A131="","",IF($P131="","",IFERROR(INDEX('Opportunities'!$Q$6:$Q$205,MATCH($P131,'Opportunities'!$A$6:$A$205,0)),"")))</f>
        <v/>
      </c>
      <c r="AC131" s="71">
        <f>IF($A131="","",IF($P131="","",IFERROR(INDEX('Opportunities'!$Z$6:$Z$205,MATCH($P131,'Opportunities'!$A$6:$A$205,0)),"")))</f>
        <v/>
      </c>
      <c r="AD131" s="71">
        <f>IF($A131="","",IF($P131="","",IFERROR(INDEX('Opportunities'!$AJ$6:$AJ$205,MATCH($P131,'Opportunities'!$A$6:$A$205,0)),"")))</f>
        <v/>
      </c>
      <c r="AE131" s="72">
        <f>IF($A131="","",IF($P131="","",IFERROR(INDEX('Opportunities'!$AA$6:$AA$205,MATCH($P131,'Opportunities'!$A$6:$A$205,0)),"")))</f>
        <v/>
      </c>
      <c r="AF131" s="73">
        <f>IF($A131="","",IF($P131="","",IFERROR(INDEX('Opportunities'!$AF$6:$AF$205,MATCH($P131,'Opportunities'!$A$6:$A$205,0)),"")))</f>
        <v/>
      </c>
      <c r="AG131" s="41">
        <f>IF($A131="","",IF($P131="","",IFERROR(INDEX('Opportunities'!$AB$6:$AB$205,MATCH($P131,'Opportunities'!$A$6:$A$205,0)),"")))</f>
        <v/>
      </c>
      <c r="AH131" s="74">
        <f>IF($A131="","",IF($P131="","",IFERROR(($U131+$V131-$J131-$K131)*24,0)))</f>
        <v/>
      </c>
      <c r="AI131" s="38">
        <f>IF($A131="","",IF($P131="","No load selected",IF($AH131&lt;IFERROR($Z131/'Settings'!$B$11,0)+'Settings'!$B$12,"Too tight",IF($AH131&gt;'Settings'!$B$13,"Long wait","Feasible"))))</f>
        <v/>
      </c>
      <c r="AJ131" s="41">
        <f>IF($A131="","",IF($P131="","",$N131-$Z131-$AB131))</f>
        <v/>
      </c>
      <c r="AK131" s="38">
        <f>IF($A131="","",IF(COUNTIF($A$6:$A$205,$A131)&gt;1,"Duplicate Trip ID",IF($P131="","Open",IF(COUNTIF('Opportunities'!$A$6:$A$205,$P131)=0,"Load ID not found",IF(COUNTIFS('Opportunities'!$A$6:$A$205,$P131,'Opportunities'!$B$6:$B$205,$A131)=0,"Trip mismatch",IF(COUNTIF($P$6:$P$205,$P131)&gt;1,"Duplicate selection",IF(AND(OR($O131="Booked",$O131="Completed"),AND($Q131&lt;&gt;"Booked",$Q131&lt;&gt;"Completed")),"Status mismatch","OK")))))))</f>
        <v/>
      </c>
      <c r="AL131" s="46" t="n"/>
    </row>
    <row r="132">
      <c r="A132" s="34" t="n"/>
      <c r="B132" s="34" t="n"/>
      <c r="C132" s="34" t="n"/>
      <c r="D132" s="34" t="n"/>
      <c r="E132" s="34" t="n"/>
      <c r="F132" s="34" t="n"/>
      <c r="G132" s="34" t="n"/>
      <c r="H132" s="69" t="n"/>
      <c r="I132" s="36" t="n"/>
      <c r="J132" s="69" t="n"/>
      <c r="K132" s="36" t="n"/>
      <c r="L132" s="34" t="n"/>
      <c r="M132" s="34" t="n"/>
      <c r="N132" s="37" t="n"/>
      <c r="O132" s="34" t="n"/>
      <c r="P132" s="34" t="n"/>
      <c r="Q132" s="38">
        <f>IF($A132="","",IF($P132="","",IFERROR(INDEX('Opportunities'!$C$6:$C$205,MATCH($P132,'Opportunities'!$A$6:$A$205,0)),"")))</f>
        <v/>
      </c>
      <c r="R132" s="38">
        <f>IF($A132="","",IF($P132="","",IFERROR(INDEX('Opportunities'!$D$6:$D$205,MATCH($P132,'Opportunities'!$A$6:$A$205,0)),"")))</f>
        <v/>
      </c>
      <c r="S132" s="38">
        <f>IF($A132="","",IF($P132="","",IFERROR(INDEX('Opportunities'!$E$6:$E$205,MATCH($P132,'Opportunities'!$A$6:$A$205,0)),"")))</f>
        <v/>
      </c>
      <c r="T132" s="38">
        <f>IF($A132="","",IF($P132="","",IFERROR(INDEX('Opportunities'!$F$6:$F$205,MATCH($P132,'Opportunities'!$A$6:$A$205,0)),"")))</f>
        <v/>
      </c>
      <c r="U132" s="70">
        <f>IF($A132="","",IF($P132="","",IFERROR(INDEX('Opportunities'!$G$6:$G$205,MATCH($P132,'Opportunities'!$A$6:$A$205,0)),"")))</f>
        <v/>
      </c>
      <c r="V132" s="40">
        <f>IF($A132="","",IF($P132="","",IFERROR(INDEX('Opportunities'!$H$6:$H$205,MATCH($P132,'Opportunities'!$A$6:$A$205,0)),"")))</f>
        <v/>
      </c>
      <c r="W132" s="38">
        <f>IF($A132="","",IF($P132="","",IFERROR(INDEX('Opportunities'!$I$6:$I$205,MATCH($P132,'Opportunities'!$A$6:$A$205,0)),"")))</f>
        <v/>
      </c>
      <c r="X132" s="38">
        <f>IF($A132="","",IF($P132="","",IFERROR(INDEX('Opportunities'!$J$6:$J$205,MATCH($P132,'Opportunities'!$A$6:$A$205,0)),"")))</f>
        <v/>
      </c>
      <c r="Y132" s="70">
        <f>IF($A132="","",IF($P132="","",IFERROR(INDEX('Opportunities'!$K$6:$K$205,MATCH($P132,'Opportunities'!$A$6:$A$205,0)),"")))</f>
        <v/>
      </c>
      <c r="Z132" s="41">
        <f>IF($A132="","",IF($P132="","",IFERROR(INDEX('Opportunities'!$O$6:$O$205,MATCH($P132,'Opportunities'!$A$6:$A$205,0)),"")))</f>
        <v/>
      </c>
      <c r="AA132" s="41">
        <f>IF($A132="","",IF($P132="","",IFERROR(INDEX('Opportunities'!$P$6:$P$205,MATCH($P132,'Opportunities'!$A$6:$A$205,0)),"")))</f>
        <v/>
      </c>
      <c r="AB132" s="41">
        <f>IF($A132="","",IF($P132="","",IFERROR(INDEX('Opportunities'!$Q$6:$Q$205,MATCH($P132,'Opportunities'!$A$6:$A$205,0)),"")))</f>
        <v/>
      </c>
      <c r="AC132" s="71">
        <f>IF($A132="","",IF($P132="","",IFERROR(INDEX('Opportunities'!$Z$6:$Z$205,MATCH($P132,'Opportunities'!$A$6:$A$205,0)),"")))</f>
        <v/>
      </c>
      <c r="AD132" s="71">
        <f>IF($A132="","",IF($P132="","",IFERROR(INDEX('Opportunities'!$AJ$6:$AJ$205,MATCH($P132,'Opportunities'!$A$6:$A$205,0)),"")))</f>
        <v/>
      </c>
      <c r="AE132" s="72">
        <f>IF($A132="","",IF($P132="","",IFERROR(INDEX('Opportunities'!$AA$6:$AA$205,MATCH($P132,'Opportunities'!$A$6:$A$205,0)),"")))</f>
        <v/>
      </c>
      <c r="AF132" s="73">
        <f>IF($A132="","",IF($P132="","",IFERROR(INDEX('Opportunities'!$AF$6:$AF$205,MATCH($P132,'Opportunities'!$A$6:$A$205,0)),"")))</f>
        <v/>
      </c>
      <c r="AG132" s="41">
        <f>IF($A132="","",IF($P132="","",IFERROR(INDEX('Opportunities'!$AB$6:$AB$205,MATCH($P132,'Opportunities'!$A$6:$A$205,0)),"")))</f>
        <v/>
      </c>
      <c r="AH132" s="74">
        <f>IF($A132="","",IF($P132="","",IFERROR(($U132+$V132-$J132-$K132)*24,0)))</f>
        <v/>
      </c>
      <c r="AI132" s="38">
        <f>IF($A132="","",IF($P132="","No load selected",IF($AH132&lt;IFERROR($Z132/'Settings'!$B$11,0)+'Settings'!$B$12,"Too tight",IF($AH132&gt;'Settings'!$B$13,"Long wait","Feasible"))))</f>
        <v/>
      </c>
      <c r="AJ132" s="41">
        <f>IF($A132="","",IF($P132="","",$N132-$Z132-$AB132))</f>
        <v/>
      </c>
      <c r="AK132" s="38">
        <f>IF($A132="","",IF(COUNTIF($A$6:$A$205,$A132)&gt;1,"Duplicate Trip ID",IF($P132="","Open",IF(COUNTIF('Opportunities'!$A$6:$A$205,$P132)=0,"Load ID not found",IF(COUNTIFS('Opportunities'!$A$6:$A$205,$P132,'Opportunities'!$B$6:$B$205,$A132)=0,"Trip mismatch",IF(COUNTIF($P$6:$P$205,$P132)&gt;1,"Duplicate selection",IF(AND(OR($O132="Booked",$O132="Completed"),AND($Q132&lt;&gt;"Booked",$Q132&lt;&gt;"Completed")),"Status mismatch","OK")))))))</f>
        <v/>
      </c>
      <c r="AL132" s="46" t="n"/>
    </row>
    <row r="133">
      <c r="A133" s="34" t="n"/>
      <c r="B133" s="34" t="n"/>
      <c r="C133" s="34" t="n"/>
      <c r="D133" s="34" t="n"/>
      <c r="E133" s="34" t="n"/>
      <c r="F133" s="34" t="n"/>
      <c r="G133" s="34" t="n"/>
      <c r="H133" s="69" t="n"/>
      <c r="I133" s="36" t="n"/>
      <c r="J133" s="69" t="n"/>
      <c r="K133" s="36" t="n"/>
      <c r="L133" s="34" t="n"/>
      <c r="M133" s="34" t="n"/>
      <c r="N133" s="37" t="n"/>
      <c r="O133" s="34" t="n"/>
      <c r="P133" s="34" t="n"/>
      <c r="Q133" s="38">
        <f>IF($A133="","",IF($P133="","",IFERROR(INDEX('Opportunities'!$C$6:$C$205,MATCH($P133,'Opportunities'!$A$6:$A$205,0)),"")))</f>
        <v/>
      </c>
      <c r="R133" s="38">
        <f>IF($A133="","",IF($P133="","",IFERROR(INDEX('Opportunities'!$D$6:$D$205,MATCH($P133,'Opportunities'!$A$6:$A$205,0)),"")))</f>
        <v/>
      </c>
      <c r="S133" s="38">
        <f>IF($A133="","",IF($P133="","",IFERROR(INDEX('Opportunities'!$E$6:$E$205,MATCH($P133,'Opportunities'!$A$6:$A$205,0)),"")))</f>
        <v/>
      </c>
      <c r="T133" s="38">
        <f>IF($A133="","",IF($P133="","",IFERROR(INDEX('Opportunities'!$F$6:$F$205,MATCH($P133,'Opportunities'!$A$6:$A$205,0)),"")))</f>
        <v/>
      </c>
      <c r="U133" s="70">
        <f>IF($A133="","",IF($P133="","",IFERROR(INDEX('Opportunities'!$G$6:$G$205,MATCH($P133,'Opportunities'!$A$6:$A$205,0)),"")))</f>
        <v/>
      </c>
      <c r="V133" s="40">
        <f>IF($A133="","",IF($P133="","",IFERROR(INDEX('Opportunities'!$H$6:$H$205,MATCH($P133,'Opportunities'!$A$6:$A$205,0)),"")))</f>
        <v/>
      </c>
      <c r="W133" s="38">
        <f>IF($A133="","",IF($P133="","",IFERROR(INDEX('Opportunities'!$I$6:$I$205,MATCH($P133,'Opportunities'!$A$6:$A$205,0)),"")))</f>
        <v/>
      </c>
      <c r="X133" s="38">
        <f>IF($A133="","",IF($P133="","",IFERROR(INDEX('Opportunities'!$J$6:$J$205,MATCH($P133,'Opportunities'!$A$6:$A$205,0)),"")))</f>
        <v/>
      </c>
      <c r="Y133" s="70">
        <f>IF($A133="","",IF($P133="","",IFERROR(INDEX('Opportunities'!$K$6:$K$205,MATCH($P133,'Opportunities'!$A$6:$A$205,0)),"")))</f>
        <v/>
      </c>
      <c r="Z133" s="41">
        <f>IF($A133="","",IF($P133="","",IFERROR(INDEX('Opportunities'!$O$6:$O$205,MATCH($P133,'Opportunities'!$A$6:$A$205,0)),"")))</f>
        <v/>
      </c>
      <c r="AA133" s="41">
        <f>IF($A133="","",IF($P133="","",IFERROR(INDEX('Opportunities'!$P$6:$P$205,MATCH($P133,'Opportunities'!$A$6:$A$205,0)),"")))</f>
        <v/>
      </c>
      <c r="AB133" s="41">
        <f>IF($A133="","",IF($P133="","",IFERROR(INDEX('Opportunities'!$Q$6:$Q$205,MATCH($P133,'Opportunities'!$A$6:$A$205,0)),"")))</f>
        <v/>
      </c>
      <c r="AC133" s="71">
        <f>IF($A133="","",IF($P133="","",IFERROR(INDEX('Opportunities'!$Z$6:$Z$205,MATCH($P133,'Opportunities'!$A$6:$A$205,0)),"")))</f>
        <v/>
      </c>
      <c r="AD133" s="71">
        <f>IF($A133="","",IF($P133="","",IFERROR(INDEX('Opportunities'!$AJ$6:$AJ$205,MATCH($P133,'Opportunities'!$A$6:$A$205,0)),"")))</f>
        <v/>
      </c>
      <c r="AE133" s="72">
        <f>IF($A133="","",IF($P133="","",IFERROR(INDEX('Opportunities'!$AA$6:$AA$205,MATCH($P133,'Opportunities'!$A$6:$A$205,0)),"")))</f>
        <v/>
      </c>
      <c r="AF133" s="73">
        <f>IF($A133="","",IF($P133="","",IFERROR(INDEX('Opportunities'!$AF$6:$AF$205,MATCH($P133,'Opportunities'!$A$6:$A$205,0)),"")))</f>
        <v/>
      </c>
      <c r="AG133" s="41">
        <f>IF($A133="","",IF($P133="","",IFERROR(INDEX('Opportunities'!$AB$6:$AB$205,MATCH($P133,'Opportunities'!$A$6:$A$205,0)),"")))</f>
        <v/>
      </c>
      <c r="AH133" s="74">
        <f>IF($A133="","",IF($P133="","",IFERROR(($U133+$V133-$J133-$K133)*24,0)))</f>
        <v/>
      </c>
      <c r="AI133" s="38">
        <f>IF($A133="","",IF($P133="","No load selected",IF($AH133&lt;IFERROR($Z133/'Settings'!$B$11,0)+'Settings'!$B$12,"Too tight",IF($AH133&gt;'Settings'!$B$13,"Long wait","Feasible"))))</f>
        <v/>
      </c>
      <c r="AJ133" s="41">
        <f>IF($A133="","",IF($P133="","",$N133-$Z133-$AB133))</f>
        <v/>
      </c>
      <c r="AK133" s="38">
        <f>IF($A133="","",IF(COUNTIF($A$6:$A$205,$A133)&gt;1,"Duplicate Trip ID",IF($P133="","Open",IF(COUNTIF('Opportunities'!$A$6:$A$205,$P133)=0,"Load ID not found",IF(COUNTIFS('Opportunities'!$A$6:$A$205,$P133,'Opportunities'!$B$6:$B$205,$A133)=0,"Trip mismatch",IF(COUNTIF($P$6:$P$205,$P133)&gt;1,"Duplicate selection",IF(AND(OR($O133="Booked",$O133="Completed"),AND($Q133&lt;&gt;"Booked",$Q133&lt;&gt;"Completed")),"Status mismatch","OK")))))))</f>
        <v/>
      </c>
      <c r="AL133" s="46" t="n"/>
    </row>
    <row r="134">
      <c r="A134" s="34" t="n"/>
      <c r="B134" s="34" t="n"/>
      <c r="C134" s="34" t="n"/>
      <c r="D134" s="34" t="n"/>
      <c r="E134" s="34" t="n"/>
      <c r="F134" s="34" t="n"/>
      <c r="G134" s="34" t="n"/>
      <c r="H134" s="69" t="n"/>
      <c r="I134" s="36" t="n"/>
      <c r="J134" s="69" t="n"/>
      <c r="K134" s="36" t="n"/>
      <c r="L134" s="34" t="n"/>
      <c r="M134" s="34" t="n"/>
      <c r="N134" s="37" t="n"/>
      <c r="O134" s="34" t="n"/>
      <c r="P134" s="34" t="n"/>
      <c r="Q134" s="38">
        <f>IF($A134="","",IF($P134="","",IFERROR(INDEX('Opportunities'!$C$6:$C$205,MATCH($P134,'Opportunities'!$A$6:$A$205,0)),"")))</f>
        <v/>
      </c>
      <c r="R134" s="38">
        <f>IF($A134="","",IF($P134="","",IFERROR(INDEX('Opportunities'!$D$6:$D$205,MATCH($P134,'Opportunities'!$A$6:$A$205,0)),"")))</f>
        <v/>
      </c>
      <c r="S134" s="38">
        <f>IF($A134="","",IF($P134="","",IFERROR(INDEX('Opportunities'!$E$6:$E$205,MATCH($P134,'Opportunities'!$A$6:$A$205,0)),"")))</f>
        <v/>
      </c>
      <c r="T134" s="38">
        <f>IF($A134="","",IF($P134="","",IFERROR(INDEX('Opportunities'!$F$6:$F$205,MATCH($P134,'Opportunities'!$A$6:$A$205,0)),"")))</f>
        <v/>
      </c>
      <c r="U134" s="70">
        <f>IF($A134="","",IF($P134="","",IFERROR(INDEX('Opportunities'!$G$6:$G$205,MATCH($P134,'Opportunities'!$A$6:$A$205,0)),"")))</f>
        <v/>
      </c>
      <c r="V134" s="40">
        <f>IF($A134="","",IF($P134="","",IFERROR(INDEX('Opportunities'!$H$6:$H$205,MATCH($P134,'Opportunities'!$A$6:$A$205,0)),"")))</f>
        <v/>
      </c>
      <c r="W134" s="38">
        <f>IF($A134="","",IF($P134="","",IFERROR(INDEX('Opportunities'!$I$6:$I$205,MATCH($P134,'Opportunities'!$A$6:$A$205,0)),"")))</f>
        <v/>
      </c>
      <c r="X134" s="38">
        <f>IF($A134="","",IF($P134="","",IFERROR(INDEX('Opportunities'!$J$6:$J$205,MATCH($P134,'Opportunities'!$A$6:$A$205,0)),"")))</f>
        <v/>
      </c>
      <c r="Y134" s="70">
        <f>IF($A134="","",IF($P134="","",IFERROR(INDEX('Opportunities'!$K$6:$K$205,MATCH($P134,'Opportunities'!$A$6:$A$205,0)),"")))</f>
        <v/>
      </c>
      <c r="Z134" s="41">
        <f>IF($A134="","",IF($P134="","",IFERROR(INDEX('Opportunities'!$O$6:$O$205,MATCH($P134,'Opportunities'!$A$6:$A$205,0)),"")))</f>
        <v/>
      </c>
      <c r="AA134" s="41">
        <f>IF($A134="","",IF($P134="","",IFERROR(INDEX('Opportunities'!$P$6:$P$205,MATCH($P134,'Opportunities'!$A$6:$A$205,0)),"")))</f>
        <v/>
      </c>
      <c r="AB134" s="41">
        <f>IF($A134="","",IF($P134="","",IFERROR(INDEX('Opportunities'!$Q$6:$Q$205,MATCH($P134,'Opportunities'!$A$6:$A$205,0)),"")))</f>
        <v/>
      </c>
      <c r="AC134" s="71">
        <f>IF($A134="","",IF($P134="","",IFERROR(INDEX('Opportunities'!$Z$6:$Z$205,MATCH($P134,'Opportunities'!$A$6:$A$205,0)),"")))</f>
        <v/>
      </c>
      <c r="AD134" s="71">
        <f>IF($A134="","",IF($P134="","",IFERROR(INDEX('Opportunities'!$AJ$6:$AJ$205,MATCH($P134,'Opportunities'!$A$6:$A$205,0)),"")))</f>
        <v/>
      </c>
      <c r="AE134" s="72">
        <f>IF($A134="","",IF($P134="","",IFERROR(INDEX('Opportunities'!$AA$6:$AA$205,MATCH($P134,'Opportunities'!$A$6:$A$205,0)),"")))</f>
        <v/>
      </c>
      <c r="AF134" s="73">
        <f>IF($A134="","",IF($P134="","",IFERROR(INDEX('Opportunities'!$AF$6:$AF$205,MATCH($P134,'Opportunities'!$A$6:$A$205,0)),"")))</f>
        <v/>
      </c>
      <c r="AG134" s="41">
        <f>IF($A134="","",IF($P134="","",IFERROR(INDEX('Opportunities'!$AB$6:$AB$205,MATCH($P134,'Opportunities'!$A$6:$A$205,0)),"")))</f>
        <v/>
      </c>
      <c r="AH134" s="74">
        <f>IF($A134="","",IF($P134="","",IFERROR(($U134+$V134-$J134-$K134)*24,0)))</f>
        <v/>
      </c>
      <c r="AI134" s="38">
        <f>IF($A134="","",IF($P134="","No load selected",IF($AH134&lt;IFERROR($Z134/'Settings'!$B$11,0)+'Settings'!$B$12,"Too tight",IF($AH134&gt;'Settings'!$B$13,"Long wait","Feasible"))))</f>
        <v/>
      </c>
      <c r="AJ134" s="41">
        <f>IF($A134="","",IF($P134="","",$N134-$Z134-$AB134))</f>
        <v/>
      </c>
      <c r="AK134" s="38">
        <f>IF($A134="","",IF(COUNTIF($A$6:$A$205,$A134)&gt;1,"Duplicate Trip ID",IF($P134="","Open",IF(COUNTIF('Opportunities'!$A$6:$A$205,$P134)=0,"Load ID not found",IF(COUNTIFS('Opportunities'!$A$6:$A$205,$P134,'Opportunities'!$B$6:$B$205,$A134)=0,"Trip mismatch",IF(COUNTIF($P$6:$P$205,$P134)&gt;1,"Duplicate selection",IF(AND(OR($O134="Booked",$O134="Completed"),AND($Q134&lt;&gt;"Booked",$Q134&lt;&gt;"Completed")),"Status mismatch","OK")))))))</f>
        <v/>
      </c>
      <c r="AL134" s="46" t="n"/>
    </row>
    <row r="135">
      <c r="A135" s="34" t="n"/>
      <c r="B135" s="34" t="n"/>
      <c r="C135" s="34" t="n"/>
      <c r="D135" s="34" t="n"/>
      <c r="E135" s="34" t="n"/>
      <c r="F135" s="34" t="n"/>
      <c r="G135" s="34" t="n"/>
      <c r="H135" s="69" t="n"/>
      <c r="I135" s="36" t="n"/>
      <c r="J135" s="69" t="n"/>
      <c r="K135" s="36" t="n"/>
      <c r="L135" s="34" t="n"/>
      <c r="M135" s="34" t="n"/>
      <c r="N135" s="37" t="n"/>
      <c r="O135" s="34" t="n"/>
      <c r="P135" s="34" t="n"/>
      <c r="Q135" s="38">
        <f>IF($A135="","",IF($P135="","",IFERROR(INDEX('Opportunities'!$C$6:$C$205,MATCH($P135,'Opportunities'!$A$6:$A$205,0)),"")))</f>
        <v/>
      </c>
      <c r="R135" s="38">
        <f>IF($A135="","",IF($P135="","",IFERROR(INDEX('Opportunities'!$D$6:$D$205,MATCH($P135,'Opportunities'!$A$6:$A$205,0)),"")))</f>
        <v/>
      </c>
      <c r="S135" s="38">
        <f>IF($A135="","",IF($P135="","",IFERROR(INDEX('Opportunities'!$E$6:$E$205,MATCH($P135,'Opportunities'!$A$6:$A$205,0)),"")))</f>
        <v/>
      </c>
      <c r="T135" s="38">
        <f>IF($A135="","",IF($P135="","",IFERROR(INDEX('Opportunities'!$F$6:$F$205,MATCH($P135,'Opportunities'!$A$6:$A$205,0)),"")))</f>
        <v/>
      </c>
      <c r="U135" s="70">
        <f>IF($A135="","",IF($P135="","",IFERROR(INDEX('Opportunities'!$G$6:$G$205,MATCH($P135,'Opportunities'!$A$6:$A$205,0)),"")))</f>
        <v/>
      </c>
      <c r="V135" s="40">
        <f>IF($A135="","",IF($P135="","",IFERROR(INDEX('Opportunities'!$H$6:$H$205,MATCH($P135,'Opportunities'!$A$6:$A$205,0)),"")))</f>
        <v/>
      </c>
      <c r="W135" s="38">
        <f>IF($A135="","",IF($P135="","",IFERROR(INDEX('Opportunities'!$I$6:$I$205,MATCH($P135,'Opportunities'!$A$6:$A$205,0)),"")))</f>
        <v/>
      </c>
      <c r="X135" s="38">
        <f>IF($A135="","",IF($P135="","",IFERROR(INDEX('Opportunities'!$J$6:$J$205,MATCH($P135,'Opportunities'!$A$6:$A$205,0)),"")))</f>
        <v/>
      </c>
      <c r="Y135" s="70">
        <f>IF($A135="","",IF($P135="","",IFERROR(INDEX('Opportunities'!$K$6:$K$205,MATCH($P135,'Opportunities'!$A$6:$A$205,0)),"")))</f>
        <v/>
      </c>
      <c r="Z135" s="41">
        <f>IF($A135="","",IF($P135="","",IFERROR(INDEX('Opportunities'!$O$6:$O$205,MATCH($P135,'Opportunities'!$A$6:$A$205,0)),"")))</f>
        <v/>
      </c>
      <c r="AA135" s="41">
        <f>IF($A135="","",IF($P135="","",IFERROR(INDEX('Opportunities'!$P$6:$P$205,MATCH($P135,'Opportunities'!$A$6:$A$205,0)),"")))</f>
        <v/>
      </c>
      <c r="AB135" s="41">
        <f>IF($A135="","",IF($P135="","",IFERROR(INDEX('Opportunities'!$Q$6:$Q$205,MATCH($P135,'Opportunities'!$A$6:$A$205,0)),"")))</f>
        <v/>
      </c>
      <c r="AC135" s="71">
        <f>IF($A135="","",IF($P135="","",IFERROR(INDEX('Opportunities'!$Z$6:$Z$205,MATCH($P135,'Opportunities'!$A$6:$A$205,0)),"")))</f>
        <v/>
      </c>
      <c r="AD135" s="71">
        <f>IF($A135="","",IF($P135="","",IFERROR(INDEX('Opportunities'!$AJ$6:$AJ$205,MATCH($P135,'Opportunities'!$A$6:$A$205,0)),"")))</f>
        <v/>
      </c>
      <c r="AE135" s="72">
        <f>IF($A135="","",IF($P135="","",IFERROR(INDEX('Opportunities'!$AA$6:$AA$205,MATCH($P135,'Opportunities'!$A$6:$A$205,0)),"")))</f>
        <v/>
      </c>
      <c r="AF135" s="73">
        <f>IF($A135="","",IF($P135="","",IFERROR(INDEX('Opportunities'!$AF$6:$AF$205,MATCH($P135,'Opportunities'!$A$6:$A$205,0)),"")))</f>
        <v/>
      </c>
      <c r="AG135" s="41">
        <f>IF($A135="","",IF($P135="","",IFERROR(INDEX('Opportunities'!$AB$6:$AB$205,MATCH($P135,'Opportunities'!$A$6:$A$205,0)),"")))</f>
        <v/>
      </c>
      <c r="AH135" s="74">
        <f>IF($A135="","",IF($P135="","",IFERROR(($U135+$V135-$J135-$K135)*24,0)))</f>
        <v/>
      </c>
      <c r="AI135" s="38">
        <f>IF($A135="","",IF($P135="","No load selected",IF($AH135&lt;IFERROR($Z135/'Settings'!$B$11,0)+'Settings'!$B$12,"Too tight",IF($AH135&gt;'Settings'!$B$13,"Long wait","Feasible"))))</f>
        <v/>
      </c>
      <c r="AJ135" s="41">
        <f>IF($A135="","",IF($P135="","",$N135-$Z135-$AB135))</f>
        <v/>
      </c>
      <c r="AK135" s="38">
        <f>IF($A135="","",IF(COUNTIF($A$6:$A$205,$A135)&gt;1,"Duplicate Trip ID",IF($P135="","Open",IF(COUNTIF('Opportunities'!$A$6:$A$205,$P135)=0,"Load ID not found",IF(COUNTIFS('Opportunities'!$A$6:$A$205,$P135,'Opportunities'!$B$6:$B$205,$A135)=0,"Trip mismatch",IF(COUNTIF($P$6:$P$205,$P135)&gt;1,"Duplicate selection",IF(AND(OR($O135="Booked",$O135="Completed"),AND($Q135&lt;&gt;"Booked",$Q135&lt;&gt;"Completed")),"Status mismatch","OK")))))))</f>
        <v/>
      </c>
      <c r="AL135" s="46" t="n"/>
    </row>
    <row r="136">
      <c r="A136" s="34" t="n"/>
      <c r="B136" s="34" t="n"/>
      <c r="C136" s="34" t="n"/>
      <c r="D136" s="34" t="n"/>
      <c r="E136" s="34" t="n"/>
      <c r="F136" s="34" t="n"/>
      <c r="G136" s="34" t="n"/>
      <c r="H136" s="69" t="n"/>
      <c r="I136" s="36" t="n"/>
      <c r="J136" s="69" t="n"/>
      <c r="K136" s="36" t="n"/>
      <c r="L136" s="34" t="n"/>
      <c r="M136" s="34" t="n"/>
      <c r="N136" s="37" t="n"/>
      <c r="O136" s="34" t="n"/>
      <c r="P136" s="34" t="n"/>
      <c r="Q136" s="38">
        <f>IF($A136="","",IF($P136="","",IFERROR(INDEX('Opportunities'!$C$6:$C$205,MATCH($P136,'Opportunities'!$A$6:$A$205,0)),"")))</f>
        <v/>
      </c>
      <c r="R136" s="38">
        <f>IF($A136="","",IF($P136="","",IFERROR(INDEX('Opportunities'!$D$6:$D$205,MATCH($P136,'Opportunities'!$A$6:$A$205,0)),"")))</f>
        <v/>
      </c>
      <c r="S136" s="38">
        <f>IF($A136="","",IF($P136="","",IFERROR(INDEX('Opportunities'!$E$6:$E$205,MATCH($P136,'Opportunities'!$A$6:$A$205,0)),"")))</f>
        <v/>
      </c>
      <c r="T136" s="38">
        <f>IF($A136="","",IF($P136="","",IFERROR(INDEX('Opportunities'!$F$6:$F$205,MATCH($P136,'Opportunities'!$A$6:$A$205,0)),"")))</f>
        <v/>
      </c>
      <c r="U136" s="70">
        <f>IF($A136="","",IF($P136="","",IFERROR(INDEX('Opportunities'!$G$6:$G$205,MATCH($P136,'Opportunities'!$A$6:$A$205,0)),"")))</f>
        <v/>
      </c>
      <c r="V136" s="40">
        <f>IF($A136="","",IF($P136="","",IFERROR(INDEX('Opportunities'!$H$6:$H$205,MATCH($P136,'Opportunities'!$A$6:$A$205,0)),"")))</f>
        <v/>
      </c>
      <c r="W136" s="38">
        <f>IF($A136="","",IF($P136="","",IFERROR(INDEX('Opportunities'!$I$6:$I$205,MATCH($P136,'Opportunities'!$A$6:$A$205,0)),"")))</f>
        <v/>
      </c>
      <c r="X136" s="38">
        <f>IF($A136="","",IF($P136="","",IFERROR(INDEX('Opportunities'!$J$6:$J$205,MATCH($P136,'Opportunities'!$A$6:$A$205,0)),"")))</f>
        <v/>
      </c>
      <c r="Y136" s="70">
        <f>IF($A136="","",IF($P136="","",IFERROR(INDEX('Opportunities'!$K$6:$K$205,MATCH($P136,'Opportunities'!$A$6:$A$205,0)),"")))</f>
        <v/>
      </c>
      <c r="Z136" s="41">
        <f>IF($A136="","",IF($P136="","",IFERROR(INDEX('Opportunities'!$O$6:$O$205,MATCH($P136,'Opportunities'!$A$6:$A$205,0)),"")))</f>
        <v/>
      </c>
      <c r="AA136" s="41">
        <f>IF($A136="","",IF($P136="","",IFERROR(INDEX('Opportunities'!$P$6:$P$205,MATCH($P136,'Opportunities'!$A$6:$A$205,0)),"")))</f>
        <v/>
      </c>
      <c r="AB136" s="41">
        <f>IF($A136="","",IF($P136="","",IFERROR(INDEX('Opportunities'!$Q$6:$Q$205,MATCH($P136,'Opportunities'!$A$6:$A$205,0)),"")))</f>
        <v/>
      </c>
      <c r="AC136" s="71">
        <f>IF($A136="","",IF($P136="","",IFERROR(INDEX('Opportunities'!$Z$6:$Z$205,MATCH($P136,'Opportunities'!$A$6:$A$205,0)),"")))</f>
        <v/>
      </c>
      <c r="AD136" s="71">
        <f>IF($A136="","",IF($P136="","",IFERROR(INDEX('Opportunities'!$AJ$6:$AJ$205,MATCH($P136,'Opportunities'!$A$6:$A$205,0)),"")))</f>
        <v/>
      </c>
      <c r="AE136" s="72">
        <f>IF($A136="","",IF($P136="","",IFERROR(INDEX('Opportunities'!$AA$6:$AA$205,MATCH($P136,'Opportunities'!$A$6:$A$205,0)),"")))</f>
        <v/>
      </c>
      <c r="AF136" s="73">
        <f>IF($A136="","",IF($P136="","",IFERROR(INDEX('Opportunities'!$AF$6:$AF$205,MATCH($P136,'Opportunities'!$A$6:$A$205,0)),"")))</f>
        <v/>
      </c>
      <c r="AG136" s="41">
        <f>IF($A136="","",IF($P136="","",IFERROR(INDEX('Opportunities'!$AB$6:$AB$205,MATCH($P136,'Opportunities'!$A$6:$A$205,0)),"")))</f>
        <v/>
      </c>
      <c r="AH136" s="74">
        <f>IF($A136="","",IF($P136="","",IFERROR(($U136+$V136-$J136-$K136)*24,0)))</f>
        <v/>
      </c>
      <c r="AI136" s="38">
        <f>IF($A136="","",IF($P136="","No load selected",IF($AH136&lt;IFERROR($Z136/'Settings'!$B$11,0)+'Settings'!$B$12,"Too tight",IF($AH136&gt;'Settings'!$B$13,"Long wait","Feasible"))))</f>
        <v/>
      </c>
      <c r="AJ136" s="41">
        <f>IF($A136="","",IF($P136="","",$N136-$Z136-$AB136))</f>
        <v/>
      </c>
      <c r="AK136" s="38">
        <f>IF($A136="","",IF(COUNTIF($A$6:$A$205,$A136)&gt;1,"Duplicate Trip ID",IF($P136="","Open",IF(COUNTIF('Opportunities'!$A$6:$A$205,$P136)=0,"Load ID not found",IF(COUNTIFS('Opportunities'!$A$6:$A$205,$P136,'Opportunities'!$B$6:$B$205,$A136)=0,"Trip mismatch",IF(COUNTIF($P$6:$P$205,$P136)&gt;1,"Duplicate selection",IF(AND(OR($O136="Booked",$O136="Completed"),AND($Q136&lt;&gt;"Booked",$Q136&lt;&gt;"Completed")),"Status mismatch","OK")))))))</f>
        <v/>
      </c>
      <c r="AL136" s="46" t="n"/>
    </row>
    <row r="137">
      <c r="A137" s="34" t="n"/>
      <c r="B137" s="34" t="n"/>
      <c r="C137" s="34" t="n"/>
      <c r="D137" s="34" t="n"/>
      <c r="E137" s="34" t="n"/>
      <c r="F137" s="34" t="n"/>
      <c r="G137" s="34" t="n"/>
      <c r="H137" s="69" t="n"/>
      <c r="I137" s="36" t="n"/>
      <c r="J137" s="69" t="n"/>
      <c r="K137" s="36" t="n"/>
      <c r="L137" s="34" t="n"/>
      <c r="M137" s="34" t="n"/>
      <c r="N137" s="37" t="n"/>
      <c r="O137" s="34" t="n"/>
      <c r="P137" s="34" t="n"/>
      <c r="Q137" s="38">
        <f>IF($A137="","",IF($P137="","",IFERROR(INDEX('Opportunities'!$C$6:$C$205,MATCH($P137,'Opportunities'!$A$6:$A$205,0)),"")))</f>
        <v/>
      </c>
      <c r="R137" s="38">
        <f>IF($A137="","",IF($P137="","",IFERROR(INDEX('Opportunities'!$D$6:$D$205,MATCH($P137,'Opportunities'!$A$6:$A$205,0)),"")))</f>
        <v/>
      </c>
      <c r="S137" s="38">
        <f>IF($A137="","",IF($P137="","",IFERROR(INDEX('Opportunities'!$E$6:$E$205,MATCH($P137,'Opportunities'!$A$6:$A$205,0)),"")))</f>
        <v/>
      </c>
      <c r="T137" s="38">
        <f>IF($A137="","",IF($P137="","",IFERROR(INDEX('Opportunities'!$F$6:$F$205,MATCH($P137,'Opportunities'!$A$6:$A$205,0)),"")))</f>
        <v/>
      </c>
      <c r="U137" s="70">
        <f>IF($A137="","",IF($P137="","",IFERROR(INDEX('Opportunities'!$G$6:$G$205,MATCH($P137,'Opportunities'!$A$6:$A$205,0)),"")))</f>
        <v/>
      </c>
      <c r="V137" s="40">
        <f>IF($A137="","",IF($P137="","",IFERROR(INDEX('Opportunities'!$H$6:$H$205,MATCH($P137,'Opportunities'!$A$6:$A$205,0)),"")))</f>
        <v/>
      </c>
      <c r="W137" s="38">
        <f>IF($A137="","",IF($P137="","",IFERROR(INDEX('Opportunities'!$I$6:$I$205,MATCH($P137,'Opportunities'!$A$6:$A$205,0)),"")))</f>
        <v/>
      </c>
      <c r="X137" s="38">
        <f>IF($A137="","",IF($P137="","",IFERROR(INDEX('Opportunities'!$J$6:$J$205,MATCH($P137,'Opportunities'!$A$6:$A$205,0)),"")))</f>
        <v/>
      </c>
      <c r="Y137" s="70">
        <f>IF($A137="","",IF($P137="","",IFERROR(INDEX('Opportunities'!$K$6:$K$205,MATCH($P137,'Opportunities'!$A$6:$A$205,0)),"")))</f>
        <v/>
      </c>
      <c r="Z137" s="41">
        <f>IF($A137="","",IF($P137="","",IFERROR(INDEX('Opportunities'!$O$6:$O$205,MATCH($P137,'Opportunities'!$A$6:$A$205,0)),"")))</f>
        <v/>
      </c>
      <c r="AA137" s="41">
        <f>IF($A137="","",IF($P137="","",IFERROR(INDEX('Opportunities'!$P$6:$P$205,MATCH($P137,'Opportunities'!$A$6:$A$205,0)),"")))</f>
        <v/>
      </c>
      <c r="AB137" s="41">
        <f>IF($A137="","",IF($P137="","",IFERROR(INDEX('Opportunities'!$Q$6:$Q$205,MATCH($P137,'Opportunities'!$A$6:$A$205,0)),"")))</f>
        <v/>
      </c>
      <c r="AC137" s="71">
        <f>IF($A137="","",IF($P137="","",IFERROR(INDEX('Opportunities'!$Z$6:$Z$205,MATCH($P137,'Opportunities'!$A$6:$A$205,0)),"")))</f>
        <v/>
      </c>
      <c r="AD137" s="71">
        <f>IF($A137="","",IF($P137="","",IFERROR(INDEX('Opportunities'!$AJ$6:$AJ$205,MATCH($P137,'Opportunities'!$A$6:$A$205,0)),"")))</f>
        <v/>
      </c>
      <c r="AE137" s="72">
        <f>IF($A137="","",IF($P137="","",IFERROR(INDEX('Opportunities'!$AA$6:$AA$205,MATCH($P137,'Opportunities'!$A$6:$A$205,0)),"")))</f>
        <v/>
      </c>
      <c r="AF137" s="73">
        <f>IF($A137="","",IF($P137="","",IFERROR(INDEX('Opportunities'!$AF$6:$AF$205,MATCH($P137,'Opportunities'!$A$6:$A$205,0)),"")))</f>
        <v/>
      </c>
      <c r="AG137" s="41">
        <f>IF($A137="","",IF($P137="","",IFERROR(INDEX('Opportunities'!$AB$6:$AB$205,MATCH($P137,'Opportunities'!$A$6:$A$205,0)),"")))</f>
        <v/>
      </c>
      <c r="AH137" s="74">
        <f>IF($A137="","",IF($P137="","",IFERROR(($U137+$V137-$J137-$K137)*24,0)))</f>
        <v/>
      </c>
      <c r="AI137" s="38">
        <f>IF($A137="","",IF($P137="","No load selected",IF($AH137&lt;IFERROR($Z137/'Settings'!$B$11,0)+'Settings'!$B$12,"Too tight",IF($AH137&gt;'Settings'!$B$13,"Long wait","Feasible"))))</f>
        <v/>
      </c>
      <c r="AJ137" s="41">
        <f>IF($A137="","",IF($P137="","",$N137-$Z137-$AB137))</f>
        <v/>
      </c>
      <c r="AK137" s="38">
        <f>IF($A137="","",IF(COUNTIF($A$6:$A$205,$A137)&gt;1,"Duplicate Trip ID",IF($P137="","Open",IF(COUNTIF('Opportunities'!$A$6:$A$205,$P137)=0,"Load ID not found",IF(COUNTIFS('Opportunities'!$A$6:$A$205,$P137,'Opportunities'!$B$6:$B$205,$A137)=0,"Trip mismatch",IF(COUNTIF($P$6:$P$205,$P137)&gt;1,"Duplicate selection",IF(AND(OR($O137="Booked",$O137="Completed"),AND($Q137&lt;&gt;"Booked",$Q137&lt;&gt;"Completed")),"Status mismatch","OK")))))))</f>
        <v/>
      </c>
      <c r="AL137" s="46" t="n"/>
    </row>
    <row r="138">
      <c r="A138" s="34" t="n"/>
      <c r="B138" s="34" t="n"/>
      <c r="C138" s="34" t="n"/>
      <c r="D138" s="34" t="n"/>
      <c r="E138" s="34" t="n"/>
      <c r="F138" s="34" t="n"/>
      <c r="G138" s="34" t="n"/>
      <c r="H138" s="69" t="n"/>
      <c r="I138" s="36" t="n"/>
      <c r="J138" s="69" t="n"/>
      <c r="K138" s="36" t="n"/>
      <c r="L138" s="34" t="n"/>
      <c r="M138" s="34" t="n"/>
      <c r="N138" s="37" t="n"/>
      <c r="O138" s="34" t="n"/>
      <c r="P138" s="34" t="n"/>
      <c r="Q138" s="38">
        <f>IF($A138="","",IF($P138="","",IFERROR(INDEX('Opportunities'!$C$6:$C$205,MATCH($P138,'Opportunities'!$A$6:$A$205,0)),"")))</f>
        <v/>
      </c>
      <c r="R138" s="38">
        <f>IF($A138="","",IF($P138="","",IFERROR(INDEX('Opportunities'!$D$6:$D$205,MATCH($P138,'Opportunities'!$A$6:$A$205,0)),"")))</f>
        <v/>
      </c>
      <c r="S138" s="38">
        <f>IF($A138="","",IF($P138="","",IFERROR(INDEX('Opportunities'!$E$6:$E$205,MATCH($P138,'Opportunities'!$A$6:$A$205,0)),"")))</f>
        <v/>
      </c>
      <c r="T138" s="38">
        <f>IF($A138="","",IF($P138="","",IFERROR(INDEX('Opportunities'!$F$6:$F$205,MATCH($P138,'Opportunities'!$A$6:$A$205,0)),"")))</f>
        <v/>
      </c>
      <c r="U138" s="70">
        <f>IF($A138="","",IF($P138="","",IFERROR(INDEX('Opportunities'!$G$6:$G$205,MATCH($P138,'Opportunities'!$A$6:$A$205,0)),"")))</f>
        <v/>
      </c>
      <c r="V138" s="40">
        <f>IF($A138="","",IF($P138="","",IFERROR(INDEX('Opportunities'!$H$6:$H$205,MATCH($P138,'Opportunities'!$A$6:$A$205,0)),"")))</f>
        <v/>
      </c>
      <c r="W138" s="38">
        <f>IF($A138="","",IF($P138="","",IFERROR(INDEX('Opportunities'!$I$6:$I$205,MATCH($P138,'Opportunities'!$A$6:$A$205,0)),"")))</f>
        <v/>
      </c>
      <c r="X138" s="38">
        <f>IF($A138="","",IF($P138="","",IFERROR(INDEX('Opportunities'!$J$6:$J$205,MATCH($P138,'Opportunities'!$A$6:$A$205,0)),"")))</f>
        <v/>
      </c>
      <c r="Y138" s="70">
        <f>IF($A138="","",IF($P138="","",IFERROR(INDEX('Opportunities'!$K$6:$K$205,MATCH($P138,'Opportunities'!$A$6:$A$205,0)),"")))</f>
        <v/>
      </c>
      <c r="Z138" s="41">
        <f>IF($A138="","",IF($P138="","",IFERROR(INDEX('Opportunities'!$O$6:$O$205,MATCH($P138,'Opportunities'!$A$6:$A$205,0)),"")))</f>
        <v/>
      </c>
      <c r="AA138" s="41">
        <f>IF($A138="","",IF($P138="","",IFERROR(INDEX('Opportunities'!$P$6:$P$205,MATCH($P138,'Opportunities'!$A$6:$A$205,0)),"")))</f>
        <v/>
      </c>
      <c r="AB138" s="41">
        <f>IF($A138="","",IF($P138="","",IFERROR(INDEX('Opportunities'!$Q$6:$Q$205,MATCH($P138,'Opportunities'!$A$6:$A$205,0)),"")))</f>
        <v/>
      </c>
      <c r="AC138" s="71">
        <f>IF($A138="","",IF($P138="","",IFERROR(INDEX('Opportunities'!$Z$6:$Z$205,MATCH($P138,'Opportunities'!$A$6:$A$205,0)),"")))</f>
        <v/>
      </c>
      <c r="AD138" s="71">
        <f>IF($A138="","",IF($P138="","",IFERROR(INDEX('Opportunities'!$AJ$6:$AJ$205,MATCH($P138,'Opportunities'!$A$6:$A$205,0)),"")))</f>
        <v/>
      </c>
      <c r="AE138" s="72">
        <f>IF($A138="","",IF($P138="","",IFERROR(INDEX('Opportunities'!$AA$6:$AA$205,MATCH($P138,'Opportunities'!$A$6:$A$205,0)),"")))</f>
        <v/>
      </c>
      <c r="AF138" s="73">
        <f>IF($A138="","",IF($P138="","",IFERROR(INDEX('Opportunities'!$AF$6:$AF$205,MATCH($P138,'Opportunities'!$A$6:$A$205,0)),"")))</f>
        <v/>
      </c>
      <c r="AG138" s="41">
        <f>IF($A138="","",IF($P138="","",IFERROR(INDEX('Opportunities'!$AB$6:$AB$205,MATCH($P138,'Opportunities'!$A$6:$A$205,0)),"")))</f>
        <v/>
      </c>
      <c r="AH138" s="74">
        <f>IF($A138="","",IF($P138="","",IFERROR(($U138+$V138-$J138-$K138)*24,0)))</f>
        <v/>
      </c>
      <c r="AI138" s="38">
        <f>IF($A138="","",IF($P138="","No load selected",IF($AH138&lt;IFERROR($Z138/'Settings'!$B$11,0)+'Settings'!$B$12,"Too tight",IF($AH138&gt;'Settings'!$B$13,"Long wait","Feasible"))))</f>
        <v/>
      </c>
      <c r="AJ138" s="41">
        <f>IF($A138="","",IF($P138="","",$N138-$Z138-$AB138))</f>
        <v/>
      </c>
      <c r="AK138" s="38">
        <f>IF($A138="","",IF(COUNTIF($A$6:$A$205,$A138)&gt;1,"Duplicate Trip ID",IF($P138="","Open",IF(COUNTIF('Opportunities'!$A$6:$A$205,$P138)=0,"Load ID not found",IF(COUNTIFS('Opportunities'!$A$6:$A$205,$P138,'Opportunities'!$B$6:$B$205,$A138)=0,"Trip mismatch",IF(COUNTIF($P$6:$P$205,$P138)&gt;1,"Duplicate selection",IF(AND(OR($O138="Booked",$O138="Completed"),AND($Q138&lt;&gt;"Booked",$Q138&lt;&gt;"Completed")),"Status mismatch","OK")))))))</f>
        <v/>
      </c>
      <c r="AL138" s="46" t="n"/>
    </row>
    <row r="139">
      <c r="A139" s="34" t="n"/>
      <c r="B139" s="34" t="n"/>
      <c r="C139" s="34" t="n"/>
      <c r="D139" s="34" t="n"/>
      <c r="E139" s="34" t="n"/>
      <c r="F139" s="34" t="n"/>
      <c r="G139" s="34" t="n"/>
      <c r="H139" s="69" t="n"/>
      <c r="I139" s="36" t="n"/>
      <c r="J139" s="69" t="n"/>
      <c r="K139" s="36" t="n"/>
      <c r="L139" s="34" t="n"/>
      <c r="M139" s="34" t="n"/>
      <c r="N139" s="37" t="n"/>
      <c r="O139" s="34" t="n"/>
      <c r="P139" s="34" t="n"/>
      <c r="Q139" s="38">
        <f>IF($A139="","",IF($P139="","",IFERROR(INDEX('Opportunities'!$C$6:$C$205,MATCH($P139,'Opportunities'!$A$6:$A$205,0)),"")))</f>
        <v/>
      </c>
      <c r="R139" s="38">
        <f>IF($A139="","",IF($P139="","",IFERROR(INDEX('Opportunities'!$D$6:$D$205,MATCH($P139,'Opportunities'!$A$6:$A$205,0)),"")))</f>
        <v/>
      </c>
      <c r="S139" s="38">
        <f>IF($A139="","",IF($P139="","",IFERROR(INDEX('Opportunities'!$E$6:$E$205,MATCH($P139,'Opportunities'!$A$6:$A$205,0)),"")))</f>
        <v/>
      </c>
      <c r="T139" s="38">
        <f>IF($A139="","",IF($P139="","",IFERROR(INDEX('Opportunities'!$F$6:$F$205,MATCH($P139,'Opportunities'!$A$6:$A$205,0)),"")))</f>
        <v/>
      </c>
      <c r="U139" s="70">
        <f>IF($A139="","",IF($P139="","",IFERROR(INDEX('Opportunities'!$G$6:$G$205,MATCH($P139,'Opportunities'!$A$6:$A$205,0)),"")))</f>
        <v/>
      </c>
      <c r="V139" s="40">
        <f>IF($A139="","",IF($P139="","",IFERROR(INDEX('Opportunities'!$H$6:$H$205,MATCH($P139,'Opportunities'!$A$6:$A$205,0)),"")))</f>
        <v/>
      </c>
      <c r="W139" s="38">
        <f>IF($A139="","",IF($P139="","",IFERROR(INDEX('Opportunities'!$I$6:$I$205,MATCH($P139,'Opportunities'!$A$6:$A$205,0)),"")))</f>
        <v/>
      </c>
      <c r="X139" s="38">
        <f>IF($A139="","",IF($P139="","",IFERROR(INDEX('Opportunities'!$J$6:$J$205,MATCH($P139,'Opportunities'!$A$6:$A$205,0)),"")))</f>
        <v/>
      </c>
      <c r="Y139" s="70">
        <f>IF($A139="","",IF($P139="","",IFERROR(INDEX('Opportunities'!$K$6:$K$205,MATCH($P139,'Opportunities'!$A$6:$A$205,0)),"")))</f>
        <v/>
      </c>
      <c r="Z139" s="41">
        <f>IF($A139="","",IF($P139="","",IFERROR(INDEX('Opportunities'!$O$6:$O$205,MATCH($P139,'Opportunities'!$A$6:$A$205,0)),"")))</f>
        <v/>
      </c>
      <c r="AA139" s="41">
        <f>IF($A139="","",IF($P139="","",IFERROR(INDEX('Opportunities'!$P$6:$P$205,MATCH($P139,'Opportunities'!$A$6:$A$205,0)),"")))</f>
        <v/>
      </c>
      <c r="AB139" s="41">
        <f>IF($A139="","",IF($P139="","",IFERROR(INDEX('Opportunities'!$Q$6:$Q$205,MATCH($P139,'Opportunities'!$A$6:$A$205,0)),"")))</f>
        <v/>
      </c>
      <c r="AC139" s="71">
        <f>IF($A139="","",IF($P139="","",IFERROR(INDEX('Opportunities'!$Z$6:$Z$205,MATCH($P139,'Opportunities'!$A$6:$A$205,0)),"")))</f>
        <v/>
      </c>
      <c r="AD139" s="71">
        <f>IF($A139="","",IF($P139="","",IFERROR(INDEX('Opportunities'!$AJ$6:$AJ$205,MATCH($P139,'Opportunities'!$A$6:$A$205,0)),"")))</f>
        <v/>
      </c>
      <c r="AE139" s="72">
        <f>IF($A139="","",IF($P139="","",IFERROR(INDEX('Opportunities'!$AA$6:$AA$205,MATCH($P139,'Opportunities'!$A$6:$A$205,0)),"")))</f>
        <v/>
      </c>
      <c r="AF139" s="73">
        <f>IF($A139="","",IF($P139="","",IFERROR(INDEX('Opportunities'!$AF$6:$AF$205,MATCH($P139,'Opportunities'!$A$6:$A$205,0)),"")))</f>
        <v/>
      </c>
      <c r="AG139" s="41">
        <f>IF($A139="","",IF($P139="","",IFERROR(INDEX('Opportunities'!$AB$6:$AB$205,MATCH($P139,'Opportunities'!$A$6:$A$205,0)),"")))</f>
        <v/>
      </c>
      <c r="AH139" s="74">
        <f>IF($A139="","",IF($P139="","",IFERROR(($U139+$V139-$J139-$K139)*24,0)))</f>
        <v/>
      </c>
      <c r="AI139" s="38">
        <f>IF($A139="","",IF($P139="","No load selected",IF($AH139&lt;IFERROR($Z139/'Settings'!$B$11,0)+'Settings'!$B$12,"Too tight",IF($AH139&gt;'Settings'!$B$13,"Long wait","Feasible"))))</f>
        <v/>
      </c>
      <c r="AJ139" s="41">
        <f>IF($A139="","",IF($P139="","",$N139-$Z139-$AB139))</f>
        <v/>
      </c>
      <c r="AK139" s="38">
        <f>IF($A139="","",IF(COUNTIF($A$6:$A$205,$A139)&gt;1,"Duplicate Trip ID",IF($P139="","Open",IF(COUNTIF('Opportunities'!$A$6:$A$205,$P139)=0,"Load ID not found",IF(COUNTIFS('Opportunities'!$A$6:$A$205,$P139,'Opportunities'!$B$6:$B$205,$A139)=0,"Trip mismatch",IF(COUNTIF($P$6:$P$205,$P139)&gt;1,"Duplicate selection",IF(AND(OR($O139="Booked",$O139="Completed"),AND($Q139&lt;&gt;"Booked",$Q139&lt;&gt;"Completed")),"Status mismatch","OK")))))))</f>
        <v/>
      </c>
      <c r="AL139" s="46" t="n"/>
    </row>
    <row r="140">
      <c r="A140" s="34" t="n"/>
      <c r="B140" s="34" t="n"/>
      <c r="C140" s="34" t="n"/>
      <c r="D140" s="34" t="n"/>
      <c r="E140" s="34" t="n"/>
      <c r="F140" s="34" t="n"/>
      <c r="G140" s="34" t="n"/>
      <c r="H140" s="69" t="n"/>
      <c r="I140" s="36" t="n"/>
      <c r="J140" s="69" t="n"/>
      <c r="K140" s="36" t="n"/>
      <c r="L140" s="34" t="n"/>
      <c r="M140" s="34" t="n"/>
      <c r="N140" s="37" t="n"/>
      <c r="O140" s="34" t="n"/>
      <c r="P140" s="34" t="n"/>
      <c r="Q140" s="38">
        <f>IF($A140="","",IF($P140="","",IFERROR(INDEX('Opportunities'!$C$6:$C$205,MATCH($P140,'Opportunities'!$A$6:$A$205,0)),"")))</f>
        <v/>
      </c>
      <c r="R140" s="38">
        <f>IF($A140="","",IF($P140="","",IFERROR(INDEX('Opportunities'!$D$6:$D$205,MATCH($P140,'Opportunities'!$A$6:$A$205,0)),"")))</f>
        <v/>
      </c>
      <c r="S140" s="38">
        <f>IF($A140="","",IF($P140="","",IFERROR(INDEX('Opportunities'!$E$6:$E$205,MATCH($P140,'Opportunities'!$A$6:$A$205,0)),"")))</f>
        <v/>
      </c>
      <c r="T140" s="38">
        <f>IF($A140="","",IF($P140="","",IFERROR(INDEX('Opportunities'!$F$6:$F$205,MATCH($P140,'Opportunities'!$A$6:$A$205,0)),"")))</f>
        <v/>
      </c>
      <c r="U140" s="70">
        <f>IF($A140="","",IF($P140="","",IFERROR(INDEX('Opportunities'!$G$6:$G$205,MATCH($P140,'Opportunities'!$A$6:$A$205,0)),"")))</f>
        <v/>
      </c>
      <c r="V140" s="40">
        <f>IF($A140="","",IF($P140="","",IFERROR(INDEX('Opportunities'!$H$6:$H$205,MATCH($P140,'Opportunities'!$A$6:$A$205,0)),"")))</f>
        <v/>
      </c>
      <c r="W140" s="38">
        <f>IF($A140="","",IF($P140="","",IFERROR(INDEX('Opportunities'!$I$6:$I$205,MATCH($P140,'Opportunities'!$A$6:$A$205,0)),"")))</f>
        <v/>
      </c>
      <c r="X140" s="38">
        <f>IF($A140="","",IF($P140="","",IFERROR(INDEX('Opportunities'!$J$6:$J$205,MATCH($P140,'Opportunities'!$A$6:$A$205,0)),"")))</f>
        <v/>
      </c>
      <c r="Y140" s="70">
        <f>IF($A140="","",IF($P140="","",IFERROR(INDEX('Opportunities'!$K$6:$K$205,MATCH($P140,'Opportunities'!$A$6:$A$205,0)),"")))</f>
        <v/>
      </c>
      <c r="Z140" s="41">
        <f>IF($A140="","",IF($P140="","",IFERROR(INDEX('Opportunities'!$O$6:$O$205,MATCH($P140,'Opportunities'!$A$6:$A$205,0)),"")))</f>
        <v/>
      </c>
      <c r="AA140" s="41">
        <f>IF($A140="","",IF($P140="","",IFERROR(INDEX('Opportunities'!$P$6:$P$205,MATCH($P140,'Opportunities'!$A$6:$A$205,0)),"")))</f>
        <v/>
      </c>
      <c r="AB140" s="41">
        <f>IF($A140="","",IF($P140="","",IFERROR(INDEX('Opportunities'!$Q$6:$Q$205,MATCH($P140,'Opportunities'!$A$6:$A$205,0)),"")))</f>
        <v/>
      </c>
      <c r="AC140" s="71">
        <f>IF($A140="","",IF($P140="","",IFERROR(INDEX('Opportunities'!$Z$6:$Z$205,MATCH($P140,'Opportunities'!$A$6:$A$205,0)),"")))</f>
        <v/>
      </c>
      <c r="AD140" s="71">
        <f>IF($A140="","",IF($P140="","",IFERROR(INDEX('Opportunities'!$AJ$6:$AJ$205,MATCH($P140,'Opportunities'!$A$6:$A$205,0)),"")))</f>
        <v/>
      </c>
      <c r="AE140" s="72">
        <f>IF($A140="","",IF($P140="","",IFERROR(INDEX('Opportunities'!$AA$6:$AA$205,MATCH($P140,'Opportunities'!$A$6:$A$205,0)),"")))</f>
        <v/>
      </c>
      <c r="AF140" s="73">
        <f>IF($A140="","",IF($P140="","",IFERROR(INDEX('Opportunities'!$AF$6:$AF$205,MATCH($P140,'Opportunities'!$A$6:$A$205,0)),"")))</f>
        <v/>
      </c>
      <c r="AG140" s="41">
        <f>IF($A140="","",IF($P140="","",IFERROR(INDEX('Opportunities'!$AB$6:$AB$205,MATCH($P140,'Opportunities'!$A$6:$A$205,0)),"")))</f>
        <v/>
      </c>
      <c r="AH140" s="74">
        <f>IF($A140="","",IF($P140="","",IFERROR(($U140+$V140-$J140-$K140)*24,0)))</f>
        <v/>
      </c>
      <c r="AI140" s="38">
        <f>IF($A140="","",IF($P140="","No load selected",IF($AH140&lt;IFERROR($Z140/'Settings'!$B$11,0)+'Settings'!$B$12,"Too tight",IF($AH140&gt;'Settings'!$B$13,"Long wait","Feasible"))))</f>
        <v/>
      </c>
      <c r="AJ140" s="41">
        <f>IF($A140="","",IF($P140="","",$N140-$Z140-$AB140))</f>
        <v/>
      </c>
      <c r="AK140" s="38">
        <f>IF($A140="","",IF(COUNTIF($A$6:$A$205,$A140)&gt;1,"Duplicate Trip ID",IF($P140="","Open",IF(COUNTIF('Opportunities'!$A$6:$A$205,$P140)=0,"Load ID not found",IF(COUNTIFS('Opportunities'!$A$6:$A$205,$P140,'Opportunities'!$B$6:$B$205,$A140)=0,"Trip mismatch",IF(COUNTIF($P$6:$P$205,$P140)&gt;1,"Duplicate selection",IF(AND(OR($O140="Booked",$O140="Completed"),AND($Q140&lt;&gt;"Booked",$Q140&lt;&gt;"Completed")),"Status mismatch","OK")))))))</f>
        <v/>
      </c>
      <c r="AL140" s="46" t="n"/>
    </row>
    <row r="141">
      <c r="A141" s="34" t="n"/>
      <c r="B141" s="34" t="n"/>
      <c r="C141" s="34" t="n"/>
      <c r="D141" s="34" t="n"/>
      <c r="E141" s="34" t="n"/>
      <c r="F141" s="34" t="n"/>
      <c r="G141" s="34" t="n"/>
      <c r="H141" s="69" t="n"/>
      <c r="I141" s="36" t="n"/>
      <c r="J141" s="69" t="n"/>
      <c r="K141" s="36" t="n"/>
      <c r="L141" s="34" t="n"/>
      <c r="M141" s="34" t="n"/>
      <c r="N141" s="37" t="n"/>
      <c r="O141" s="34" t="n"/>
      <c r="P141" s="34" t="n"/>
      <c r="Q141" s="38">
        <f>IF($A141="","",IF($P141="","",IFERROR(INDEX('Opportunities'!$C$6:$C$205,MATCH($P141,'Opportunities'!$A$6:$A$205,0)),"")))</f>
        <v/>
      </c>
      <c r="R141" s="38">
        <f>IF($A141="","",IF($P141="","",IFERROR(INDEX('Opportunities'!$D$6:$D$205,MATCH($P141,'Opportunities'!$A$6:$A$205,0)),"")))</f>
        <v/>
      </c>
      <c r="S141" s="38">
        <f>IF($A141="","",IF($P141="","",IFERROR(INDEX('Opportunities'!$E$6:$E$205,MATCH($P141,'Opportunities'!$A$6:$A$205,0)),"")))</f>
        <v/>
      </c>
      <c r="T141" s="38">
        <f>IF($A141="","",IF($P141="","",IFERROR(INDEX('Opportunities'!$F$6:$F$205,MATCH($P141,'Opportunities'!$A$6:$A$205,0)),"")))</f>
        <v/>
      </c>
      <c r="U141" s="70">
        <f>IF($A141="","",IF($P141="","",IFERROR(INDEX('Opportunities'!$G$6:$G$205,MATCH($P141,'Opportunities'!$A$6:$A$205,0)),"")))</f>
        <v/>
      </c>
      <c r="V141" s="40">
        <f>IF($A141="","",IF($P141="","",IFERROR(INDEX('Opportunities'!$H$6:$H$205,MATCH($P141,'Opportunities'!$A$6:$A$205,0)),"")))</f>
        <v/>
      </c>
      <c r="W141" s="38">
        <f>IF($A141="","",IF($P141="","",IFERROR(INDEX('Opportunities'!$I$6:$I$205,MATCH($P141,'Opportunities'!$A$6:$A$205,0)),"")))</f>
        <v/>
      </c>
      <c r="X141" s="38">
        <f>IF($A141="","",IF($P141="","",IFERROR(INDEX('Opportunities'!$J$6:$J$205,MATCH($P141,'Opportunities'!$A$6:$A$205,0)),"")))</f>
        <v/>
      </c>
      <c r="Y141" s="70">
        <f>IF($A141="","",IF($P141="","",IFERROR(INDEX('Opportunities'!$K$6:$K$205,MATCH($P141,'Opportunities'!$A$6:$A$205,0)),"")))</f>
        <v/>
      </c>
      <c r="Z141" s="41">
        <f>IF($A141="","",IF($P141="","",IFERROR(INDEX('Opportunities'!$O$6:$O$205,MATCH($P141,'Opportunities'!$A$6:$A$205,0)),"")))</f>
        <v/>
      </c>
      <c r="AA141" s="41">
        <f>IF($A141="","",IF($P141="","",IFERROR(INDEX('Opportunities'!$P$6:$P$205,MATCH($P141,'Opportunities'!$A$6:$A$205,0)),"")))</f>
        <v/>
      </c>
      <c r="AB141" s="41">
        <f>IF($A141="","",IF($P141="","",IFERROR(INDEX('Opportunities'!$Q$6:$Q$205,MATCH($P141,'Opportunities'!$A$6:$A$205,0)),"")))</f>
        <v/>
      </c>
      <c r="AC141" s="71">
        <f>IF($A141="","",IF($P141="","",IFERROR(INDEX('Opportunities'!$Z$6:$Z$205,MATCH($P141,'Opportunities'!$A$6:$A$205,0)),"")))</f>
        <v/>
      </c>
      <c r="AD141" s="71">
        <f>IF($A141="","",IF($P141="","",IFERROR(INDEX('Opportunities'!$AJ$6:$AJ$205,MATCH($P141,'Opportunities'!$A$6:$A$205,0)),"")))</f>
        <v/>
      </c>
      <c r="AE141" s="72">
        <f>IF($A141="","",IF($P141="","",IFERROR(INDEX('Opportunities'!$AA$6:$AA$205,MATCH($P141,'Opportunities'!$A$6:$A$205,0)),"")))</f>
        <v/>
      </c>
      <c r="AF141" s="73">
        <f>IF($A141="","",IF($P141="","",IFERROR(INDEX('Opportunities'!$AF$6:$AF$205,MATCH($P141,'Opportunities'!$A$6:$A$205,0)),"")))</f>
        <v/>
      </c>
      <c r="AG141" s="41">
        <f>IF($A141="","",IF($P141="","",IFERROR(INDEX('Opportunities'!$AB$6:$AB$205,MATCH($P141,'Opportunities'!$A$6:$A$205,0)),"")))</f>
        <v/>
      </c>
      <c r="AH141" s="74">
        <f>IF($A141="","",IF($P141="","",IFERROR(($U141+$V141-$J141-$K141)*24,0)))</f>
        <v/>
      </c>
      <c r="AI141" s="38">
        <f>IF($A141="","",IF($P141="","No load selected",IF($AH141&lt;IFERROR($Z141/'Settings'!$B$11,0)+'Settings'!$B$12,"Too tight",IF($AH141&gt;'Settings'!$B$13,"Long wait","Feasible"))))</f>
        <v/>
      </c>
      <c r="AJ141" s="41">
        <f>IF($A141="","",IF($P141="","",$N141-$Z141-$AB141))</f>
        <v/>
      </c>
      <c r="AK141" s="38">
        <f>IF($A141="","",IF(COUNTIF($A$6:$A$205,$A141)&gt;1,"Duplicate Trip ID",IF($P141="","Open",IF(COUNTIF('Opportunities'!$A$6:$A$205,$P141)=0,"Load ID not found",IF(COUNTIFS('Opportunities'!$A$6:$A$205,$P141,'Opportunities'!$B$6:$B$205,$A141)=0,"Trip mismatch",IF(COUNTIF($P$6:$P$205,$P141)&gt;1,"Duplicate selection",IF(AND(OR($O141="Booked",$O141="Completed"),AND($Q141&lt;&gt;"Booked",$Q141&lt;&gt;"Completed")),"Status mismatch","OK")))))))</f>
        <v/>
      </c>
      <c r="AL141" s="46" t="n"/>
    </row>
    <row r="142">
      <c r="A142" s="34" t="n"/>
      <c r="B142" s="34" t="n"/>
      <c r="C142" s="34" t="n"/>
      <c r="D142" s="34" t="n"/>
      <c r="E142" s="34" t="n"/>
      <c r="F142" s="34" t="n"/>
      <c r="G142" s="34" t="n"/>
      <c r="H142" s="69" t="n"/>
      <c r="I142" s="36" t="n"/>
      <c r="J142" s="69" t="n"/>
      <c r="K142" s="36" t="n"/>
      <c r="L142" s="34" t="n"/>
      <c r="M142" s="34" t="n"/>
      <c r="N142" s="37" t="n"/>
      <c r="O142" s="34" t="n"/>
      <c r="P142" s="34" t="n"/>
      <c r="Q142" s="38">
        <f>IF($A142="","",IF($P142="","",IFERROR(INDEX('Opportunities'!$C$6:$C$205,MATCH($P142,'Opportunities'!$A$6:$A$205,0)),"")))</f>
        <v/>
      </c>
      <c r="R142" s="38">
        <f>IF($A142="","",IF($P142="","",IFERROR(INDEX('Opportunities'!$D$6:$D$205,MATCH($P142,'Opportunities'!$A$6:$A$205,0)),"")))</f>
        <v/>
      </c>
      <c r="S142" s="38">
        <f>IF($A142="","",IF($P142="","",IFERROR(INDEX('Opportunities'!$E$6:$E$205,MATCH($P142,'Opportunities'!$A$6:$A$205,0)),"")))</f>
        <v/>
      </c>
      <c r="T142" s="38">
        <f>IF($A142="","",IF($P142="","",IFERROR(INDEX('Opportunities'!$F$6:$F$205,MATCH($P142,'Opportunities'!$A$6:$A$205,0)),"")))</f>
        <v/>
      </c>
      <c r="U142" s="70">
        <f>IF($A142="","",IF($P142="","",IFERROR(INDEX('Opportunities'!$G$6:$G$205,MATCH($P142,'Opportunities'!$A$6:$A$205,0)),"")))</f>
        <v/>
      </c>
      <c r="V142" s="40">
        <f>IF($A142="","",IF($P142="","",IFERROR(INDEX('Opportunities'!$H$6:$H$205,MATCH($P142,'Opportunities'!$A$6:$A$205,0)),"")))</f>
        <v/>
      </c>
      <c r="W142" s="38">
        <f>IF($A142="","",IF($P142="","",IFERROR(INDEX('Opportunities'!$I$6:$I$205,MATCH($P142,'Opportunities'!$A$6:$A$205,0)),"")))</f>
        <v/>
      </c>
      <c r="X142" s="38">
        <f>IF($A142="","",IF($P142="","",IFERROR(INDEX('Opportunities'!$J$6:$J$205,MATCH($P142,'Opportunities'!$A$6:$A$205,0)),"")))</f>
        <v/>
      </c>
      <c r="Y142" s="70">
        <f>IF($A142="","",IF($P142="","",IFERROR(INDEX('Opportunities'!$K$6:$K$205,MATCH($P142,'Opportunities'!$A$6:$A$205,0)),"")))</f>
        <v/>
      </c>
      <c r="Z142" s="41">
        <f>IF($A142="","",IF($P142="","",IFERROR(INDEX('Opportunities'!$O$6:$O$205,MATCH($P142,'Opportunities'!$A$6:$A$205,0)),"")))</f>
        <v/>
      </c>
      <c r="AA142" s="41">
        <f>IF($A142="","",IF($P142="","",IFERROR(INDEX('Opportunities'!$P$6:$P$205,MATCH($P142,'Opportunities'!$A$6:$A$205,0)),"")))</f>
        <v/>
      </c>
      <c r="AB142" s="41">
        <f>IF($A142="","",IF($P142="","",IFERROR(INDEX('Opportunities'!$Q$6:$Q$205,MATCH($P142,'Opportunities'!$A$6:$A$205,0)),"")))</f>
        <v/>
      </c>
      <c r="AC142" s="71">
        <f>IF($A142="","",IF($P142="","",IFERROR(INDEX('Opportunities'!$Z$6:$Z$205,MATCH($P142,'Opportunities'!$A$6:$A$205,0)),"")))</f>
        <v/>
      </c>
      <c r="AD142" s="71">
        <f>IF($A142="","",IF($P142="","",IFERROR(INDEX('Opportunities'!$AJ$6:$AJ$205,MATCH($P142,'Opportunities'!$A$6:$A$205,0)),"")))</f>
        <v/>
      </c>
      <c r="AE142" s="72">
        <f>IF($A142="","",IF($P142="","",IFERROR(INDEX('Opportunities'!$AA$6:$AA$205,MATCH($P142,'Opportunities'!$A$6:$A$205,0)),"")))</f>
        <v/>
      </c>
      <c r="AF142" s="73">
        <f>IF($A142="","",IF($P142="","",IFERROR(INDEX('Opportunities'!$AF$6:$AF$205,MATCH($P142,'Opportunities'!$A$6:$A$205,0)),"")))</f>
        <v/>
      </c>
      <c r="AG142" s="41">
        <f>IF($A142="","",IF($P142="","",IFERROR(INDEX('Opportunities'!$AB$6:$AB$205,MATCH($P142,'Opportunities'!$A$6:$A$205,0)),"")))</f>
        <v/>
      </c>
      <c r="AH142" s="74">
        <f>IF($A142="","",IF($P142="","",IFERROR(($U142+$V142-$J142-$K142)*24,0)))</f>
        <v/>
      </c>
      <c r="AI142" s="38">
        <f>IF($A142="","",IF($P142="","No load selected",IF($AH142&lt;IFERROR($Z142/'Settings'!$B$11,0)+'Settings'!$B$12,"Too tight",IF($AH142&gt;'Settings'!$B$13,"Long wait","Feasible"))))</f>
        <v/>
      </c>
      <c r="AJ142" s="41">
        <f>IF($A142="","",IF($P142="","",$N142-$Z142-$AB142))</f>
        <v/>
      </c>
      <c r="AK142" s="38">
        <f>IF($A142="","",IF(COUNTIF($A$6:$A$205,$A142)&gt;1,"Duplicate Trip ID",IF($P142="","Open",IF(COUNTIF('Opportunities'!$A$6:$A$205,$P142)=0,"Load ID not found",IF(COUNTIFS('Opportunities'!$A$6:$A$205,$P142,'Opportunities'!$B$6:$B$205,$A142)=0,"Trip mismatch",IF(COUNTIF($P$6:$P$205,$P142)&gt;1,"Duplicate selection",IF(AND(OR($O142="Booked",$O142="Completed"),AND($Q142&lt;&gt;"Booked",$Q142&lt;&gt;"Completed")),"Status mismatch","OK")))))))</f>
        <v/>
      </c>
      <c r="AL142" s="46" t="n"/>
    </row>
    <row r="143">
      <c r="A143" s="34" t="n"/>
      <c r="B143" s="34" t="n"/>
      <c r="C143" s="34" t="n"/>
      <c r="D143" s="34" t="n"/>
      <c r="E143" s="34" t="n"/>
      <c r="F143" s="34" t="n"/>
      <c r="G143" s="34" t="n"/>
      <c r="H143" s="69" t="n"/>
      <c r="I143" s="36" t="n"/>
      <c r="J143" s="69" t="n"/>
      <c r="K143" s="36" t="n"/>
      <c r="L143" s="34" t="n"/>
      <c r="M143" s="34" t="n"/>
      <c r="N143" s="37" t="n"/>
      <c r="O143" s="34" t="n"/>
      <c r="P143" s="34" t="n"/>
      <c r="Q143" s="38">
        <f>IF($A143="","",IF($P143="","",IFERROR(INDEX('Opportunities'!$C$6:$C$205,MATCH($P143,'Opportunities'!$A$6:$A$205,0)),"")))</f>
        <v/>
      </c>
      <c r="R143" s="38">
        <f>IF($A143="","",IF($P143="","",IFERROR(INDEX('Opportunities'!$D$6:$D$205,MATCH($P143,'Opportunities'!$A$6:$A$205,0)),"")))</f>
        <v/>
      </c>
      <c r="S143" s="38">
        <f>IF($A143="","",IF($P143="","",IFERROR(INDEX('Opportunities'!$E$6:$E$205,MATCH($P143,'Opportunities'!$A$6:$A$205,0)),"")))</f>
        <v/>
      </c>
      <c r="T143" s="38">
        <f>IF($A143="","",IF($P143="","",IFERROR(INDEX('Opportunities'!$F$6:$F$205,MATCH($P143,'Opportunities'!$A$6:$A$205,0)),"")))</f>
        <v/>
      </c>
      <c r="U143" s="70">
        <f>IF($A143="","",IF($P143="","",IFERROR(INDEX('Opportunities'!$G$6:$G$205,MATCH($P143,'Opportunities'!$A$6:$A$205,0)),"")))</f>
        <v/>
      </c>
      <c r="V143" s="40">
        <f>IF($A143="","",IF($P143="","",IFERROR(INDEX('Opportunities'!$H$6:$H$205,MATCH($P143,'Opportunities'!$A$6:$A$205,0)),"")))</f>
        <v/>
      </c>
      <c r="W143" s="38">
        <f>IF($A143="","",IF($P143="","",IFERROR(INDEX('Opportunities'!$I$6:$I$205,MATCH($P143,'Opportunities'!$A$6:$A$205,0)),"")))</f>
        <v/>
      </c>
      <c r="X143" s="38">
        <f>IF($A143="","",IF($P143="","",IFERROR(INDEX('Opportunities'!$J$6:$J$205,MATCH($P143,'Opportunities'!$A$6:$A$205,0)),"")))</f>
        <v/>
      </c>
      <c r="Y143" s="70">
        <f>IF($A143="","",IF($P143="","",IFERROR(INDEX('Opportunities'!$K$6:$K$205,MATCH($P143,'Opportunities'!$A$6:$A$205,0)),"")))</f>
        <v/>
      </c>
      <c r="Z143" s="41">
        <f>IF($A143="","",IF($P143="","",IFERROR(INDEX('Opportunities'!$O$6:$O$205,MATCH($P143,'Opportunities'!$A$6:$A$205,0)),"")))</f>
        <v/>
      </c>
      <c r="AA143" s="41">
        <f>IF($A143="","",IF($P143="","",IFERROR(INDEX('Opportunities'!$P$6:$P$205,MATCH($P143,'Opportunities'!$A$6:$A$205,0)),"")))</f>
        <v/>
      </c>
      <c r="AB143" s="41">
        <f>IF($A143="","",IF($P143="","",IFERROR(INDEX('Opportunities'!$Q$6:$Q$205,MATCH($P143,'Opportunities'!$A$6:$A$205,0)),"")))</f>
        <v/>
      </c>
      <c r="AC143" s="71">
        <f>IF($A143="","",IF($P143="","",IFERROR(INDEX('Opportunities'!$Z$6:$Z$205,MATCH($P143,'Opportunities'!$A$6:$A$205,0)),"")))</f>
        <v/>
      </c>
      <c r="AD143" s="71">
        <f>IF($A143="","",IF($P143="","",IFERROR(INDEX('Opportunities'!$AJ$6:$AJ$205,MATCH($P143,'Opportunities'!$A$6:$A$205,0)),"")))</f>
        <v/>
      </c>
      <c r="AE143" s="72">
        <f>IF($A143="","",IF($P143="","",IFERROR(INDEX('Opportunities'!$AA$6:$AA$205,MATCH($P143,'Opportunities'!$A$6:$A$205,0)),"")))</f>
        <v/>
      </c>
      <c r="AF143" s="73">
        <f>IF($A143="","",IF($P143="","",IFERROR(INDEX('Opportunities'!$AF$6:$AF$205,MATCH($P143,'Opportunities'!$A$6:$A$205,0)),"")))</f>
        <v/>
      </c>
      <c r="AG143" s="41">
        <f>IF($A143="","",IF($P143="","",IFERROR(INDEX('Opportunities'!$AB$6:$AB$205,MATCH($P143,'Opportunities'!$A$6:$A$205,0)),"")))</f>
        <v/>
      </c>
      <c r="AH143" s="74">
        <f>IF($A143="","",IF($P143="","",IFERROR(($U143+$V143-$J143-$K143)*24,0)))</f>
        <v/>
      </c>
      <c r="AI143" s="38">
        <f>IF($A143="","",IF($P143="","No load selected",IF($AH143&lt;IFERROR($Z143/'Settings'!$B$11,0)+'Settings'!$B$12,"Too tight",IF($AH143&gt;'Settings'!$B$13,"Long wait","Feasible"))))</f>
        <v/>
      </c>
      <c r="AJ143" s="41">
        <f>IF($A143="","",IF($P143="","",$N143-$Z143-$AB143))</f>
        <v/>
      </c>
      <c r="AK143" s="38">
        <f>IF($A143="","",IF(COUNTIF($A$6:$A$205,$A143)&gt;1,"Duplicate Trip ID",IF($P143="","Open",IF(COUNTIF('Opportunities'!$A$6:$A$205,$P143)=0,"Load ID not found",IF(COUNTIFS('Opportunities'!$A$6:$A$205,$P143,'Opportunities'!$B$6:$B$205,$A143)=0,"Trip mismatch",IF(COUNTIF($P$6:$P$205,$P143)&gt;1,"Duplicate selection",IF(AND(OR($O143="Booked",$O143="Completed"),AND($Q143&lt;&gt;"Booked",$Q143&lt;&gt;"Completed")),"Status mismatch","OK")))))))</f>
        <v/>
      </c>
      <c r="AL143" s="46" t="n"/>
    </row>
    <row r="144">
      <c r="A144" s="34" t="n"/>
      <c r="B144" s="34" t="n"/>
      <c r="C144" s="34" t="n"/>
      <c r="D144" s="34" t="n"/>
      <c r="E144" s="34" t="n"/>
      <c r="F144" s="34" t="n"/>
      <c r="G144" s="34" t="n"/>
      <c r="H144" s="69" t="n"/>
      <c r="I144" s="36" t="n"/>
      <c r="J144" s="69" t="n"/>
      <c r="K144" s="36" t="n"/>
      <c r="L144" s="34" t="n"/>
      <c r="M144" s="34" t="n"/>
      <c r="N144" s="37" t="n"/>
      <c r="O144" s="34" t="n"/>
      <c r="P144" s="34" t="n"/>
      <c r="Q144" s="38">
        <f>IF($A144="","",IF($P144="","",IFERROR(INDEX('Opportunities'!$C$6:$C$205,MATCH($P144,'Opportunities'!$A$6:$A$205,0)),"")))</f>
        <v/>
      </c>
      <c r="R144" s="38">
        <f>IF($A144="","",IF($P144="","",IFERROR(INDEX('Opportunities'!$D$6:$D$205,MATCH($P144,'Opportunities'!$A$6:$A$205,0)),"")))</f>
        <v/>
      </c>
      <c r="S144" s="38">
        <f>IF($A144="","",IF($P144="","",IFERROR(INDEX('Opportunities'!$E$6:$E$205,MATCH($P144,'Opportunities'!$A$6:$A$205,0)),"")))</f>
        <v/>
      </c>
      <c r="T144" s="38">
        <f>IF($A144="","",IF($P144="","",IFERROR(INDEX('Opportunities'!$F$6:$F$205,MATCH($P144,'Opportunities'!$A$6:$A$205,0)),"")))</f>
        <v/>
      </c>
      <c r="U144" s="70">
        <f>IF($A144="","",IF($P144="","",IFERROR(INDEX('Opportunities'!$G$6:$G$205,MATCH($P144,'Opportunities'!$A$6:$A$205,0)),"")))</f>
        <v/>
      </c>
      <c r="V144" s="40">
        <f>IF($A144="","",IF($P144="","",IFERROR(INDEX('Opportunities'!$H$6:$H$205,MATCH($P144,'Opportunities'!$A$6:$A$205,0)),"")))</f>
        <v/>
      </c>
      <c r="W144" s="38">
        <f>IF($A144="","",IF($P144="","",IFERROR(INDEX('Opportunities'!$I$6:$I$205,MATCH($P144,'Opportunities'!$A$6:$A$205,0)),"")))</f>
        <v/>
      </c>
      <c r="X144" s="38">
        <f>IF($A144="","",IF($P144="","",IFERROR(INDEX('Opportunities'!$J$6:$J$205,MATCH($P144,'Opportunities'!$A$6:$A$205,0)),"")))</f>
        <v/>
      </c>
      <c r="Y144" s="70">
        <f>IF($A144="","",IF($P144="","",IFERROR(INDEX('Opportunities'!$K$6:$K$205,MATCH($P144,'Opportunities'!$A$6:$A$205,0)),"")))</f>
        <v/>
      </c>
      <c r="Z144" s="41">
        <f>IF($A144="","",IF($P144="","",IFERROR(INDEX('Opportunities'!$O$6:$O$205,MATCH($P144,'Opportunities'!$A$6:$A$205,0)),"")))</f>
        <v/>
      </c>
      <c r="AA144" s="41">
        <f>IF($A144="","",IF($P144="","",IFERROR(INDEX('Opportunities'!$P$6:$P$205,MATCH($P144,'Opportunities'!$A$6:$A$205,0)),"")))</f>
        <v/>
      </c>
      <c r="AB144" s="41">
        <f>IF($A144="","",IF($P144="","",IFERROR(INDEX('Opportunities'!$Q$6:$Q$205,MATCH($P144,'Opportunities'!$A$6:$A$205,0)),"")))</f>
        <v/>
      </c>
      <c r="AC144" s="71">
        <f>IF($A144="","",IF($P144="","",IFERROR(INDEX('Opportunities'!$Z$6:$Z$205,MATCH($P144,'Opportunities'!$A$6:$A$205,0)),"")))</f>
        <v/>
      </c>
      <c r="AD144" s="71">
        <f>IF($A144="","",IF($P144="","",IFERROR(INDEX('Opportunities'!$AJ$6:$AJ$205,MATCH($P144,'Opportunities'!$A$6:$A$205,0)),"")))</f>
        <v/>
      </c>
      <c r="AE144" s="72">
        <f>IF($A144="","",IF($P144="","",IFERROR(INDEX('Opportunities'!$AA$6:$AA$205,MATCH($P144,'Opportunities'!$A$6:$A$205,0)),"")))</f>
        <v/>
      </c>
      <c r="AF144" s="73">
        <f>IF($A144="","",IF($P144="","",IFERROR(INDEX('Opportunities'!$AF$6:$AF$205,MATCH($P144,'Opportunities'!$A$6:$A$205,0)),"")))</f>
        <v/>
      </c>
      <c r="AG144" s="41">
        <f>IF($A144="","",IF($P144="","",IFERROR(INDEX('Opportunities'!$AB$6:$AB$205,MATCH($P144,'Opportunities'!$A$6:$A$205,0)),"")))</f>
        <v/>
      </c>
      <c r="AH144" s="74">
        <f>IF($A144="","",IF($P144="","",IFERROR(($U144+$V144-$J144-$K144)*24,0)))</f>
        <v/>
      </c>
      <c r="AI144" s="38">
        <f>IF($A144="","",IF($P144="","No load selected",IF($AH144&lt;IFERROR($Z144/'Settings'!$B$11,0)+'Settings'!$B$12,"Too tight",IF($AH144&gt;'Settings'!$B$13,"Long wait","Feasible"))))</f>
        <v/>
      </c>
      <c r="AJ144" s="41">
        <f>IF($A144="","",IF($P144="","",$N144-$Z144-$AB144))</f>
        <v/>
      </c>
      <c r="AK144" s="38">
        <f>IF($A144="","",IF(COUNTIF($A$6:$A$205,$A144)&gt;1,"Duplicate Trip ID",IF($P144="","Open",IF(COUNTIF('Opportunities'!$A$6:$A$205,$P144)=0,"Load ID not found",IF(COUNTIFS('Opportunities'!$A$6:$A$205,$P144,'Opportunities'!$B$6:$B$205,$A144)=0,"Trip mismatch",IF(COUNTIF($P$6:$P$205,$P144)&gt;1,"Duplicate selection",IF(AND(OR($O144="Booked",$O144="Completed"),AND($Q144&lt;&gt;"Booked",$Q144&lt;&gt;"Completed")),"Status mismatch","OK")))))))</f>
        <v/>
      </c>
      <c r="AL144" s="46" t="n"/>
    </row>
    <row r="145">
      <c r="A145" s="34" t="n"/>
      <c r="B145" s="34" t="n"/>
      <c r="C145" s="34" t="n"/>
      <c r="D145" s="34" t="n"/>
      <c r="E145" s="34" t="n"/>
      <c r="F145" s="34" t="n"/>
      <c r="G145" s="34" t="n"/>
      <c r="H145" s="69" t="n"/>
      <c r="I145" s="36" t="n"/>
      <c r="J145" s="69" t="n"/>
      <c r="K145" s="36" t="n"/>
      <c r="L145" s="34" t="n"/>
      <c r="M145" s="34" t="n"/>
      <c r="N145" s="37" t="n"/>
      <c r="O145" s="34" t="n"/>
      <c r="P145" s="34" t="n"/>
      <c r="Q145" s="38">
        <f>IF($A145="","",IF($P145="","",IFERROR(INDEX('Opportunities'!$C$6:$C$205,MATCH($P145,'Opportunities'!$A$6:$A$205,0)),"")))</f>
        <v/>
      </c>
      <c r="R145" s="38">
        <f>IF($A145="","",IF($P145="","",IFERROR(INDEX('Opportunities'!$D$6:$D$205,MATCH($P145,'Opportunities'!$A$6:$A$205,0)),"")))</f>
        <v/>
      </c>
      <c r="S145" s="38">
        <f>IF($A145="","",IF($P145="","",IFERROR(INDEX('Opportunities'!$E$6:$E$205,MATCH($P145,'Opportunities'!$A$6:$A$205,0)),"")))</f>
        <v/>
      </c>
      <c r="T145" s="38">
        <f>IF($A145="","",IF($P145="","",IFERROR(INDEX('Opportunities'!$F$6:$F$205,MATCH($P145,'Opportunities'!$A$6:$A$205,0)),"")))</f>
        <v/>
      </c>
      <c r="U145" s="70">
        <f>IF($A145="","",IF($P145="","",IFERROR(INDEX('Opportunities'!$G$6:$G$205,MATCH($P145,'Opportunities'!$A$6:$A$205,0)),"")))</f>
        <v/>
      </c>
      <c r="V145" s="40">
        <f>IF($A145="","",IF($P145="","",IFERROR(INDEX('Opportunities'!$H$6:$H$205,MATCH($P145,'Opportunities'!$A$6:$A$205,0)),"")))</f>
        <v/>
      </c>
      <c r="W145" s="38">
        <f>IF($A145="","",IF($P145="","",IFERROR(INDEX('Opportunities'!$I$6:$I$205,MATCH($P145,'Opportunities'!$A$6:$A$205,0)),"")))</f>
        <v/>
      </c>
      <c r="X145" s="38">
        <f>IF($A145="","",IF($P145="","",IFERROR(INDEX('Opportunities'!$J$6:$J$205,MATCH($P145,'Opportunities'!$A$6:$A$205,0)),"")))</f>
        <v/>
      </c>
      <c r="Y145" s="70">
        <f>IF($A145="","",IF($P145="","",IFERROR(INDEX('Opportunities'!$K$6:$K$205,MATCH($P145,'Opportunities'!$A$6:$A$205,0)),"")))</f>
        <v/>
      </c>
      <c r="Z145" s="41">
        <f>IF($A145="","",IF($P145="","",IFERROR(INDEX('Opportunities'!$O$6:$O$205,MATCH($P145,'Opportunities'!$A$6:$A$205,0)),"")))</f>
        <v/>
      </c>
      <c r="AA145" s="41">
        <f>IF($A145="","",IF($P145="","",IFERROR(INDEX('Opportunities'!$P$6:$P$205,MATCH($P145,'Opportunities'!$A$6:$A$205,0)),"")))</f>
        <v/>
      </c>
      <c r="AB145" s="41">
        <f>IF($A145="","",IF($P145="","",IFERROR(INDEX('Opportunities'!$Q$6:$Q$205,MATCH($P145,'Opportunities'!$A$6:$A$205,0)),"")))</f>
        <v/>
      </c>
      <c r="AC145" s="71">
        <f>IF($A145="","",IF($P145="","",IFERROR(INDEX('Opportunities'!$Z$6:$Z$205,MATCH($P145,'Opportunities'!$A$6:$A$205,0)),"")))</f>
        <v/>
      </c>
      <c r="AD145" s="71">
        <f>IF($A145="","",IF($P145="","",IFERROR(INDEX('Opportunities'!$AJ$6:$AJ$205,MATCH($P145,'Opportunities'!$A$6:$A$205,0)),"")))</f>
        <v/>
      </c>
      <c r="AE145" s="72">
        <f>IF($A145="","",IF($P145="","",IFERROR(INDEX('Opportunities'!$AA$6:$AA$205,MATCH($P145,'Opportunities'!$A$6:$A$205,0)),"")))</f>
        <v/>
      </c>
      <c r="AF145" s="73">
        <f>IF($A145="","",IF($P145="","",IFERROR(INDEX('Opportunities'!$AF$6:$AF$205,MATCH($P145,'Opportunities'!$A$6:$A$205,0)),"")))</f>
        <v/>
      </c>
      <c r="AG145" s="41">
        <f>IF($A145="","",IF($P145="","",IFERROR(INDEX('Opportunities'!$AB$6:$AB$205,MATCH($P145,'Opportunities'!$A$6:$A$205,0)),"")))</f>
        <v/>
      </c>
      <c r="AH145" s="74">
        <f>IF($A145="","",IF($P145="","",IFERROR(($U145+$V145-$J145-$K145)*24,0)))</f>
        <v/>
      </c>
      <c r="AI145" s="38">
        <f>IF($A145="","",IF($P145="","No load selected",IF($AH145&lt;IFERROR($Z145/'Settings'!$B$11,0)+'Settings'!$B$12,"Too tight",IF($AH145&gt;'Settings'!$B$13,"Long wait","Feasible"))))</f>
        <v/>
      </c>
      <c r="AJ145" s="41">
        <f>IF($A145="","",IF($P145="","",$N145-$Z145-$AB145))</f>
        <v/>
      </c>
      <c r="AK145" s="38">
        <f>IF($A145="","",IF(COUNTIF($A$6:$A$205,$A145)&gt;1,"Duplicate Trip ID",IF($P145="","Open",IF(COUNTIF('Opportunities'!$A$6:$A$205,$P145)=0,"Load ID not found",IF(COUNTIFS('Opportunities'!$A$6:$A$205,$P145,'Opportunities'!$B$6:$B$205,$A145)=0,"Trip mismatch",IF(COUNTIF($P$6:$P$205,$P145)&gt;1,"Duplicate selection",IF(AND(OR($O145="Booked",$O145="Completed"),AND($Q145&lt;&gt;"Booked",$Q145&lt;&gt;"Completed")),"Status mismatch","OK")))))))</f>
        <v/>
      </c>
      <c r="AL145" s="46" t="n"/>
    </row>
    <row r="146">
      <c r="A146" s="34" t="n"/>
      <c r="B146" s="34" t="n"/>
      <c r="C146" s="34" t="n"/>
      <c r="D146" s="34" t="n"/>
      <c r="E146" s="34" t="n"/>
      <c r="F146" s="34" t="n"/>
      <c r="G146" s="34" t="n"/>
      <c r="H146" s="69" t="n"/>
      <c r="I146" s="36" t="n"/>
      <c r="J146" s="69" t="n"/>
      <c r="K146" s="36" t="n"/>
      <c r="L146" s="34" t="n"/>
      <c r="M146" s="34" t="n"/>
      <c r="N146" s="37" t="n"/>
      <c r="O146" s="34" t="n"/>
      <c r="P146" s="34" t="n"/>
      <c r="Q146" s="38">
        <f>IF($A146="","",IF($P146="","",IFERROR(INDEX('Opportunities'!$C$6:$C$205,MATCH($P146,'Opportunities'!$A$6:$A$205,0)),"")))</f>
        <v/>
      </c>
      <c r="R146" s="38">
        <f>IF($A146="","",IF($P146="","",IFERROR(INDEX('Opportunities'!$D$6:$D$205,MATCH($P146,'Opportunities'!$A$6:$A$205,0)),"")))</f>
        <v/>
      </c>
      <c r="S146" s="38">
        <f>IF($A146="","",IF($P146="","",IFERROR(INDEX('Opportunities'!$E$6:$E$205,MATCH($P146,'Opportunities'!$A$6:$A$205,0)),"")))</f>
        <v/>
      </c>
      <c r="T146" s="38">
        <f>IF($A146="","",IF($P146="","",IFERROR(INDEX('Opportunities'!$F$6:$F$205,MATCH($P146,'Opportunities'!$A$6:$A$205,0)),"")))</f>
        <v/>
      </c>
      <c r="U146" s="70">
        <f>IF($A146="","",IF($P146="","",IFERROR(INDEX('Opportunities'!$G$6:$G$205,MATCH($P146,'Opportunities'!$A$6:$A$205,0)),"")))</f>
        <v/>
      </c>
      <c r="V146" s="40">
        <f>IF($A146="","",IF($P146="","",IFERROR(INDEX('Opportunities'!$H$6:$H$205,MATCH($P146,'Opportunities'!$A$6:$A$205,0)),"")))</f>
        <v/>
      </c>
      <c r="W146" s="38">
        <f>IF($A146="","",IF($P146="","",IFERROR(INDEX('Opportunities'!$I$6:$I$205,MATCH($P146,'Opportunities'!$A$6:$A$205,0)),"")))</f>
        <v/>
      </c>
      <c r="X146" s="38">
        <f>IF($A146="","",IF($P146="","",IFERROR(INDEX('Opportunities'!$J$6:$J$205,MATCH($P146,'Opportunities'!$A$6:$A$205,0)),"")))</f>
        <v/>
      </c>
      <c r="Y146" s="70">
        <f>IF($A146="","",IF($P146="","",IFERROR(INDEX('Opportunities'!$K$6:$K$205,MATCH($P146,'Opportunities'!$A$6:$A$205,0)),"")))</f>
        <v/>
      </c>
      <c r="Z146" s="41">
        <f>IF($A146="","",IF($P146="","",IFERROR(INDEX('Opportunities'!$O$6:$O$205,MATCH($P146,'Opportunities'!$A$6:$A$205,0)),"")))</f>
        <v/>
      </c>
      <c r="AA146" s="41">
        <f>IF($A146="","",IF($P146="","",IFERROR(INDEX('Opportunities'!$P$6:$P$205,MATCH($P146,'Opportunities'!$A$6:$A$205,0)),"")))</f>
        <v/>
      </c>
      <c r="AB146" s="41">
        <f>IF($A146="","",IF($P146="","",IFERROR(INDEX('Opportunities'!$Q$6:$Q$205,MATCH($P146,'Opportunities'!$A$6:$A$205,0)),"")))</f>
        <v/>
      </c>
      <c r="AC146" s="71">
        <f>IF($A146="","",IF($P146="","",IFERROR(INDEX('Opportunities'!$Z$6:$Z$205,MATCH($P146,'Opportunities'!$A$6:$A$205,0)),"")))</f>
        <v/>
      </c>
      <c r="AD146" s="71">
        <f>IF($A146="","",IF($P146="","",IFERROR(INDEX('Opportunities'!$AJ$6:$AJ$205,MATCH($P146,'Opportunities'!$A$6:$A$205,0)),"")))</f>
        <v/>
      </c>
      <c r="AE146" s="72">
        <f>IF($A146="","",IF($P146="","",IFERROR(INDEX('Opportunities'!$AA$6:$AA$205,MATCH($P146,'Opportunities'!$A$6:$A$205,0)),"")))</f>
        <v/>
      </c>
      <c r="AF146" s="73">
        <f>IF($A146="","",IF($P146="","",IFERROR(INDEX('Opportunities'!$AF$6:$AF$205,MATCH($P146,'Opportunities'!$A$6:$A$205,0)),"")))</f>
        <v/>
      </c>
      <c r="AG146" s="41">
        <f>IF($A146="","",IF($P146="","",IFERROR(INDEX('Opportunities'!$AB$6:$AB$205,MATCH($P146,'Opportunities'!$A$6:$A$205,0)),"")))</f>
        <v/>
      </c>
      <c r="AH146" s="74">
        <f>IF($A146="","",IF($P146="","",IFERROR(($U146+$V146-$J146-$K146)*24,0)))</f>
        <v/>
      </c>
      <c r="AI146" s="38">
        <f>IF($A146="","",IF($P146="","No load selected",IF($AH146&lt;IFERROR($Z146/'Settings'!$B$11,0)+'Settings'!$B$12,"Too tight",IF($AH146&gt;'Settings'!$B$13,"Long wait","Feasible"))))</f>
        <v/>
      </c>
      <c r="AJ146" s="41">
        <f>IF($A146="","",IF($P146="","",$N146-$Z146-$AB146))</f>
        <v/>
      </c>
      <c r="AK146" s="38">
        <f>IF($A146="","",IF(COUNTIF($A$6:$A$205,$A146)&gt;1,"Duplicate Trip ID",IF($P146="","Open",IF(COUNTIF('Opportunities'!$A$6:$A$205,$P146)=0,"Load ID not found",IF(COUNTIFS('Opportunities'!$A$6:$A$205,$P146,'Opportunities'!$B$6:$B$205,$A146)=0,"Trip mismatch",IF(COUNTIF($P$6:$P$205,$P146)&gt;1,"Duplicate selection",IF(AND(OR($O146="Booked",$O146="Completed"),AND($Q146&lt;&gt;"Booked",$Q146&lt;&gt;"Completed")),"Status mismatch","OK")))))))</f>
        <v/>
      </c>
      <c r="AL146" s="46" t="n"/>
    </row>
    <row r="147">
      <c r="A147" s="34" t="n"/>
      <c r="B147" s="34" t="n"/>
      <c r="C147" s="34" t="n"/>
      <c r="D147" s="34" t="n"/>
      <c r="E147" s="34" t="n"/>
      <c r="F147" s="34" t="n"/>
      <c r="G147" s="34" t="n"/>
      <c r="H147" s="69" t="n"/>
      <c r="I147" s="36" t="n"/>
      <c r="J147" s="69" t="n"/>
      <c r="K147" s="36" t="n"/>
      <c r="L147" s="34" t="n"/>
      <c r="M147" s="34" t="n"/>
      <c r="N147" s="37" t="n"/>
      <c r="O147" s="34" t="n"/>
      <c r="P147" s="34" t="n"/>
      <c r="Q147" s="38">
        <f>IF($A147="","",IF($P147="","",IFERROR(INDEX('Opportunities'!$C$6:$C$205,MATCH($P147,'Opportunities'!$A$6:$A$205,0)),"")))</f>
        <v/>
      </c>
      <c r="R147" s="38">
        <f>IF($A147="","",IF($P147="","",IFERROR(INDEX('Opportunities'!$D$6:$D$205,MATCH($P147,'Opportunities'!$A$6:$A$205,0)),"")))</f>
        <v/>
      </c>
      <c r="S147" s="38">
        <f>IF($A147="","",IF($P147="","",IFERROR(INDEX('Opportunities'!$E$6:$E$205,MATCH($P147,'Opportunities'!$A$6:$A$205,0)),"")))</f>
        <v/>
      </c>
      <c r="T147" s="38">
        <f>IF($A147="","",IF($P147="","",IFERROR(INDEX('Opportunities'!$F$6:$F$205,MATCH($P147,'Opportunities'!$A$6:$A$205,0)),"")))</f>
        <v/>
      </c>
      <c r="U147" s="70">
        <f>IF($A147="","",IF($P147="","",IFERROR(INDEX('Opportunities'!$G$6:$G$205,MATCH($P147,'Opportunities'!$A$6:$A$205,0)),"")))</f>
        <v/>
      </c>
      <c r="V147" s="40">
        <f>IF($A147="","",IF($P147="","",IFERROR(INDEX('Opportunities'!$H$6:$H$205,MATCH($P147,'Opportunities'!$A$6:$A$205,0)),"")))</f>
        <v/>
      </c>
      <c r="W147" s="38">
        <f>IF($A147="","",IF($P147="","",IFERROR(INDEX('Opportunities'!$I$6:$I$205,MATCH($P147,'Opportunities'!$A$6:$A$205,0)),"")))</f>
        <v/>
      </c>
      <c r="X147" s="38">
        <f>IF($A147="","",IF($P147="","",IFERROR(INDEX('Opportunities'!$J$6:$J$205,MATCH($P147,'Opportunities'!$A$6:$A$205,0)),"")))</f>
        <v/>
      </c>
      <c r="Y147" s="70">
        <f>IF($A147="","",IF($P147="","",IFERROR(INDEX('Opportunities'!$K$6:$K$205,MATCH($P147,'Opportunities'!$A$6:$A$205,0)),"")))</f>
        <v/>
      </c>
      <c r="Z147" s="41">
        <f>IF($A147="","",IF($P147="","",IFERROR(INDEX('Opportunities'!$O$6:$O$205,MATCH($P147,'Opportunities'!$A$6:$A$205,0)),"")))</f>
        <v/>
      </c>
      <c r="AA147" s="41">
        <f>IF($A147="","",IF($P147="","",IFERROR(INDEX('Opportunities'!$P$6:$P$205,MATCH($P147,'Opportunities'!$A$6:$A$205,0)),"")))</f>
        <v/>
      </c>
      <c r="AB147" s="41">
        <f>IF($A147="","",IF($P147="","",IFERROR(INDEX('Opportunities'!$Q$6:$Q$205,MATCH($P147,'Opportunities'!$A$6:$A$205,0)),"")))</f>
        <v/>
      </c>
      <c r="AC147" s="71">
        <f>IF($A147="","",IF($P147="","",IFERROR(INDEX('Opportunities'!$Z$6:$Z$205,MATCH($P147,'Opportunities'!$A$6:$A$205,0)),"")))</f>
        <v/>
      </c>
      <c r="AD147" s="71">
        <f>IF($A147="","",IF($P147="","",IFERROR(INDEX('Opportunities'!$AJ$6:$AJ$205,MATCH($P147,'Opportunities'!$A$6:$A$205,0)),"")))</f>
        <v/>
      </c>
      <c r="AE147" s="72">
        <f>IF($A147="","",IF($P147="","",IFERROR(INDEX('Opportunities'!$AA$6:$AA$205,MATCH($P147,'Opportunities'!$A$6:$A$205,0)),"")))</f>
        <v/>
      </c>
      <c r="AF147" s="73">
        <f>IF($A147="","",IF($P147="","",IFERROR(INDEX('Opportunities'!$AF$6:$AF$205,MATCH($P147,'Opportunities'!$A$6:$A$205,0)),"")))</f>
        <v/>
      </c>
      <c r="AG147" s="41">
        <f>IF($A147="","",IF($P147="","",IFERROR(INDEX('Opportunities'!$AB$6:$AB$205,MATCH($P147,'Opportunities'!$A$6:$A$205,0)),"")))</f>
        <v/>
      </c>
      <c r="AH147" s="74">
        <f>IF($A147="","",IF($P147="","",IFERROR(($U147+$V147-$J147-$K147)*24,0)))</f>
        <v/>
      </c>
      <c r="AI147" s="38">
        <f>IF($A147="","",IF($P147="","No load selected",IF($AH147&lt;IFERROR($Z147/'Settings'!$B$11,0)+'Settings'!$B$12,"Too tight",IF($AH147&gt;'Settings'!$B$13,"Long wait","Feasible"))))</f>
        <v/>
      </c>
      <c r="AJ147" s="41">
        <f>IF($A147="","",IF($P147="","",$N147-$Z147-$AB147))</f>
        <v/>
      </c>
      <c r="AK147" s="38">
        <f>IF($A147="","",IF(COUNTIF($A$6:$A$205,$A147)&gt;1,"Duplicate Trip ID",IF($P147="","Open",IF(COUNTIF('Opportunities'!$A$6:$A$205,$P147)=0,"Load ID not found",IF(COUNTIFS('Opportunities'!$A$6:$A$205,$P147,'Opportunities'!$B$6:$B$205,$A147)=0,"Trip mismatch",IF(COUNTIF($P$6:$P$205,$P147)&gt;1,"Duplicate selection",IF(AND(OR($O147="Booked",$O147="Completed"),AND($Q147&lt;&gt;"Booked",$Q147&lt;&gt;"Completed")),"Status mismatch","OK")))))))</f>
        <v/>
      </c>
      <c r="AL147" s="46" t="n"/>
    </row>
    <row r="148">
      <c r="A148" s="34" t="n"/>
      <c r="B148" s="34" t="n"/>
      <c r="C148" s="34" t="n"/>
      <c r="D148" s="34" t="n"/>
      <c r="E148" s="34" t="n"/>
      <c r="F148" s="34" t="n"/>
      <c r="G148" s="34" t="n"/>
      <c r="H148" s="69" t="n"/>
      <c r="I148" s="36" t="n"/>
      <c r="J148" s="69" t="n"/>
      <c r="K148" s="36" t="n"/>
      <c r="L148" s="34" t="n"/>
      <c r="M148" s="34" t="n"/>
      <c r="N148" s="37" t="n"/>
      <c r="O148" s="34" t="n"/>
      <c r="P148" s="34" t="n"/>
      <c r="Q148" s="38">
        <f>IF($A148="","",IF($P148="","",IFERROR(INDEX('Opportunities'!$C$6:$C$205,MATCH($P148,'Opportunities'!$A$6:$A$205,0)),"")))</f>
        <v/>
      </c>
      <c r="R148" s="38">
        <f>IF($A148="","",IF($P148="","",IFERROR(INDEX('Opportunities'!$D$6:$D$205,MATCH($P148,'Opportunities'!$A$6:$A$205,0)),"")))</f>
        <v/>
      </c>
      <c r="S148" s="38">
        <f>IF($A148="","",IF($P148="","",IFERROR(INDEX('Opportunities'!$E$6:$E$205,MATCH($P148,'Opportunities'!$A$6:$A$205,0)),"")))</f>
        <v/>
      </c>
      <c r="T148" s="38">
        <f>IF($A148="","",IF($P148="","",IFERROR(INDEX('Opportunities'!$F$6:$F$205,MATCH($P148,'Opportunities'!$A$6:$A$205,0)),"")))</f>
        <v/>
      </c>
      <c r="U148" s="70">
        <f>IF($A148="","",IF($P148="","",IFERROR(INDEX('Opportunities'!$G$6:$G$205,MATCH($P148,'Opportunities'!$A$6:$A$205,0)),"")))</f>
        <v/>
      </c>
      <c r="V148" s="40">
        <f>IF($A148="","",IF($P148="","",IFERROR(INDEX('Opportunities'!$H$6:$H$205,MATCH($P148,'Opportunities'!$A$6:$A$205,0)),"")))</f>
        <v/>
      </c>
      <c r="W148" s="38">
        <f>IF($A148="","",IF($P148="","",IFERROR(INDEX('Opportunities'!$I$6:$I$205,MATCH($P148,'Opportunities'!$A$6:$A$205,0)),"")))</f>
        <v/>
      </c>
      <c r="X148" s="38">
        <f>IF($A148="","",IF($P148="","",IFERROR(INDEX('Opportunities'!$J$6:$J$205,MATCH($P148,'Opportunities'!$A$6:$A$205,0)),"")))</f>
        <v/>
      </c>
      <c r="Y148" s="70">
        <f>IF($A148="","",IF($P148="","",IFERROR(INDEX('Opportunities'!$K$6:$K$205,MATCH($P148,'Opportunities'!$A$6:$A$205,0)),"")))</f>
        <v/>
      </c>
      <c r="Z148" s="41">
        <f>IF($A148="","",IF($P148="","",IFERROR(INDEX('Opportunities'!$O$6:$O$205,MATCH($P148,'Opportunities'!$A$6:$A$205,0)),"")))</f>
        <v/>
      </c>
      <c r="AA148" s="41">
        <f>IF($A148="","",IF($P148="","",IFERROR(INDEX('Opportunities'!$P$6:$P$205,MATCH($P148,'Opportunities'!$A$6:$A$205,0)),"")))</f>
        <v/>
      </c>
      <c r="AB148" s="41">
        <f>IF($A148="","",IF($P148="","",IFERROR(INDEX('Opportunities'!$Q$6:$Q$205,MATCH($P148,'Opportunities'!$A$6:$A$205,0)),"")))</f>
        <v/>
      </c>
      <c r="AC148" s="71">
        <f>IF($A148="","",IF($P148="","",IFERROR(INDEX('Opportunities'!$Z$6:$Z$205,MATCH($P148,'Opportunities'!$A$6:$A$205,0)),"")))</f>
        <v/>
      </c>
      <c r="AD148" s="71">
        <f>IF($A148="","",IF($P148="","",IFERROR(INDEX('Opportunities'!$AJ$6:$AJ$205,MATCH($P148,'Opportunities'!$A$6:$A$205,0)),"")))</f>
        <v/>
      </c>
      <c r="AE148" s="72">
        <f>IF($A148="","",IF($P148="","",IFERROR(INDEX('Opportunities'!$AA$6:$AA$205,MATCH($P148,'Opportunities'!$A$6:$A$205,0)),"")))</f>
        <v/>
      </c>
      <c r="AF148" s="73">
        <f>IF($A148="","",IF($P148="","",IFERROR(INDEX('Opportunities'!$AF$6:$AF$205,MATCH($P148,'Opportunities'!$A$6:$A$205,0)),"")))</f>
        <v/>
      </c>
      <c r="AG148" s="41">
        <f>IF($A148="","",IF($P148="","",IFERROR(INDEX('Opportunities'!$AB$6:$AB$205,MATCH($P148,'Opportunities'!$A$6:$A$205,0)),"")))</f>
        <v/>
      </c>
      <c r="AH148" s="74">
        <f>IF($A148="","",IF($P148="","",IFERROR(($U148+$V148-$J148-$K148)*24,0)))</f>
        <v/>
      </c>
      <c r="AI148" s="38">
        <f>IF($A148="","",IF($P148="","No load selected",IF($AH148&lt;IFERROR($Z148/'Settings'!$B$11,0)+'Settings'!$B$12,"Too tight",IF($AH148&gt;'Settings'!$B$13,"Long wait","Feasible"))))</f>
        <v/>
      </c>
      <c r="AJ148" s="41">
        <f>IF($A148="","",IF($P148="","",$N148-$Z148-$AB148))</f>
        <v/>
      </c>
      <c r="AK148" s="38">
        <f>IF($A148="","",IF(COUNTIF($A$6:$A$205,$A148)&gt;1,"Duplicate Trip ID",IF($P148="","Open",IF(COUNTIF('Opportunities'!$A$6:$A$205,$P148)=0,"Load ID not found",IF(COUNTIFS('Opportunities'!$A$6:$A$205,$P148,'Opportunities'!$B$6:$B$205,$A148)=0,"Trip mismatch",IF(COUNTIF($P$6:$P$205,$P148)&gt;1,"Duplicate selection",IF(AND(OR($O148="Booked",$O148="Completed"),AND($Q148&lt;&gt;"Booked",$Q148&lt;&gt;"Completed")),"Status mismatch","OK")))))))</f>
        <v/>
      </c>
      <c r="AL148" s="46" t="n"/>
    </row>
    <row r="149">
      <c r="A149" s="34" t="n"/>
      <c r="B149" s="34" t="n"/>
      <c r="C149" s="34" t="n"/>
      <c r="D149" s="34" t="n"/>
      <c r="E149" s="34" t="n"/>
      <c r="F149" s="34" t="n"/>
      <c r="G149" s="34" t="n"/>
      <c r="H149" s="69" t="n"/>
      <c r="I149" s="36" t="n"/>
      <c r="J149" s="69" t="n"/>
      <c r="K149" s="36" t="n"/>
      <c r="L149" s="34" t="n"/>
      <c r="M149" s="34" t="n"/>
      <c r="N149" s="37" t="n"/>
      <c r="O149" s="34" t="n"/>
      <c r="P149" s="34" t="n"/>
      <c r="Q149" s="38">
        <f>IF($A149="","",IF($P149="","",IFERROR(INDEX('Opportunities'!$C$6:$C$205,MATCH($P149,'Opportunities'!$A$6:$A$205,0)),"")))</f>
        <v/>
      </c>
      <c r="R149" s="38">
        <f>IF($A149="","",IF($P149="","",IFERROR(INDEX('Opportunities'!$D$6:$D$205,MATCH($P149,'Opportunities'!$A$6:$A$205,0)),"")))</f>
        <v/>
      </c>
      <c r="S149" s="38">
        <f>IF($A149="","",IF($P149="","",IFERROR(INDEX('Opportunities'!$E$6:$E$205,MATCH($P149,'Opportunities'!$A$6:$A$205,0)),"")))</f>
        <v/>
      </c>
      <c r="T149" s="38">
        <f>IF($A149="","",IF($P149="","",IFERROR(INDEX('Opportunities'!$F$6:$F$205,MATCH($P149,'Opportunities'!$A$6:$A$205,0)),"")))</f>
        <v/>
      </c>
      <c r="U149" s="70">
        <f>IF($A149="","",IF($P149="","",IFERROR(INDEX('Opportunities'!$G$6:$G$205,MATCH($P149,'Opportunities'!$A$6:$A$205,0)),"")))</f>
        <v/>
      </c>
      <c r="V149" s="40">
        <f>IF($A149="","",IF($P149="","",IFERROR(INDEX('Opportunities'!$H$6:$H$205,MATCH($P149,'Opportunities'!$A$6:$A$205,0)),"")))</f>
        <v/>
      </c>
      <c r="W149" s="38">
        <f>IF($A149="","",IF($P149="","",IFERROR(INDEX('Opportunities'!$I$6:$I$205,MATCH($P149,'Opportunities'!$A$6:$A$205,0)),"")))</f>
        <v/>
      </c>
      <c r="X149" s="38">
        <f>IF($A149="","",IF($P149="","",IFERROR(INDEX('Opportunities'!$J$6:$J$205,MATCH($P149,'Opportunities'!$A$6:$A$205,0)),"")))</f>
        <v/>
      </c>
      <c r="Y149" s="70">
        <f>IF($A149="","",IF($P149="","",IFERROR(INDEX('Opportunities'!$K$6:$K$205,MATCH($P149,'Opportunities'!$A$6:$A$205,0)),"")))</f>
        <v/>
      </c>
      <c r="Z149" s="41">
        <f>IF($A149="","",IF($P149="","",IFERROR(INDEX('Opportunities'!$O$6:$O$205,MATCH($P149,'Opportunities'!$A$6:$A$205,0)),"")))</f>
        <v/>
      </c>
      <c r="AA149" s="41">
        <f>IF($A149="","",IF($P149="","",IFERROR(INDEX('Opportunities'!$P$6:$P$205,MATCH($P149,'Opportunities'!$A$6:$A$205,0)),"")))</f>
        <v/>
      </c>
      <c r="AB149" s="41">
        <f>IF($A149="","",IF($P149="","",IFERROR(INDEX('Opportunities'!$Q$6:$Q$205,MATCH($P149,'Opportunities'!$A$6:$A$205,0)),"")))</f>
        <v/>
      </c>
      <c r="AC149" s="71">
        <f>IF($A149="","",IF($P149="","",IFERROR(INDEX('Opportunities'!$Z$6:$Z$205,MATCH($P149,'Opportunities'!$A$6:$A$205,0)),"")))</f>
        <v/>
      </c>
      <c r="AD149" s="71">
        <f>IF($A149="","",IF($P149="","",IFERROR(INDEX('Opportunities'!$AJ$6:$AJ$205,MATCH($P149,'Opportunities'!$A$6:$A$205,0)),"")))</f>
        <v/>
      </c>
      <c r="AE149" s="72">
        <f>IF($A149="","",IF($P149="","",IFERROR(INDEX('Opportunities'!$AA$6:$AA$205,MATCH($P149,'Opportunities'!$A$6:$A$205,0)),"")))</f>
        <v/>
      </c>
      <c r="AF149" s="73">
        <f>IF($A149="","",IF($P149="","",IFERROR(INDEX('Opportunities'!$AF$6:$AF$205,MATCH($P149,'Opportunities'!$A$6:$A$205,0)),"")))</f>
        <v/>
      </c>
      <c r="AG149" s="41">
        <f>IF($A149="","",IF($P149="","",IFERROR(INDEX('Opportunities'!$AB$6:$AB$205,MATCH($P149,'Opportunities'!$A$6:$A$205,0)),"")))</f>
        <v/>
      </c>
      <c r="AH149" s="74">
        <f>IF($A149="","",IF($P149="","",IFERROR(($U149+$V149-$J149-$K149)*24,0)))</f>
        <v/>
      </c>
      <c r="AI149" s="38">
        <f>IF($A149="","",IF($P149="","No load selected",IF($AH149&lt;IFERROR($Z149/'Settings'!$B$11,0)+'Settings'!$B$12,"Too tight",IF($AH149&gt;'Settings'!$B$13,"Long wait","Feasible"))))</f>
        <v/>
      </c>
      <c r="AJ149" s="41">
        <f>IF($A149="","",IF($P149="","",$N149-$Z149-$AB149))</f>
        <v/>
      </c>
      <c r="AK149" s="38">
        <f>IF($A149="","",IF(COUNTIF($A$6:$A$205,$A149)&gt;1,"Duplicate Trip ID",IF($P149="","Open",IF(COUNTIF('Opportunities'!$A$6:$A$205,$P149)=0,"Load ID not found",IF(COUNTIFS('Opportunities'!$A$6:$A$205,$P149,'Opportunities'!$B$6:$B$205,$A149)=0,"Trip mismatch",IF(COUNTIF($P$6:$P$205,$P149)&gt;1,"Duplicate selection",IF(AND(OR($O149="Booked",$O149="Completed"),AND($Q149&lt;&gt;"Booked",$Q149&lt;&gt;"Completed")),"Status mismatch","OK")))))))</f>
        <v/>
      </c>
      <c r="AL149" s="46" t="n"/>
    </row>
    <row r="150">
      <c r="A150" s="34" t="n"/>
      <c r="B150" s="34" t="n"/>
      <c r="C150" s="34" t="n"/>
      <c r="D150" s="34" t="n"/>
      <c r="E150" s="34" t="n"/>
      <c r="F150" s="34" t="n"/>
      <c r="G150" s="34" t="n"/>
      <c r="H150" s="69" t="n"/>
      <c r="I150" s="36" t="n"/>
      <c r="J150" s="69" t="n"/>
      <c r="K150" s="36" t="n"/>
      <c r="L150" s="34" t="n"/>
      <c r="M150" s="34" t="n"/>
      <c r="N150" s="37" t="n"/>
      <c r="O150" s="34" t="n"/>
      <c r="P150" s="34" t="n"/>
      <c r="Q150" s="38">
        <f>IF($A150="","",IF($P150="","",IFERROR(INDEX('Opportunities'!$C$6:$C$205,MATCH($P150,'Opportunities'!$A$6:$A$205,0)),"")))</f>
        <v/>
      </c>
      <c r="R150" s="38">
        <f>IF($A150="","",IF($P150="","",IFERROR(INDEX('Opportunities'!$D$6:$D$205,MATCH($P150,'Opportunities'!$A$6:$A$205,0)),"")))</f>
        <v/>
      </c>
      <c r="S150" s="38">
        <f>IF($A150="","",IF($P150="","",IFERROR(INDEX('Opportunities'!$E$6:$E$205,MATCH($P150,'Opportunities'!$A$6:$A$205,0)),"")))</f>
        <v/>
      </c>
      <c r="T150" s="38">
        <f>IF($A150="","",IF($P150="","",IFERROR(INDEX('Opportunities'!$F$6:$F$205,MATCH($P150,'Opportunities'!$A$6:$A$205,0)),"")))</f>
        <v/>
      </c>
      <c r="U150" s="70">
        <f>IF($A150="","",IF($P150="","",IFERROR(INDEX('Opportunities'!$G$6:$G$205,MATCH($P150,'Opportunities'!$A$6:$A$205,0)),"")))</f>
        <v/>
      </c>
      <c r="V150" s="40">
        <f>IF($A150="","",IF($P150="","",IFERROR(INDEX('Opportunities'!$H$6:$H$205,MATCH($P150,'Opportunities'!$A$6:$A$205,0)),"")))</f>
        <v/>
      </c>
      <c r="W150" s="38">
        <f>IF($A150="","",IF($P150="","",IFERROR(INDEX('Opportunities'!$I$6:$I$205,MATCH($P150,'Opportunities'!$A$6:$A$205,0)),"")))</f>
        <v/>
      </c>
      <c r="X150" s="38">
        <f>IF($A150="","",IF($P150="","",IFERROR(INDEX('Opportunities'!$J$6:$J$205,MATCH($P150,'Opportunities'!$A$6:$A$205,0)),"")))</f>
        <v/>
      </c>
      <c r="Y150" s="70">
        <f>IF($A150="","",IF($P150="","",IFERROR(INDEX('Opportunities'!$K$6:$K$205,MATCH($P150,'Opportunities'!$A$6:$A$205,0)),"")))</f>
        <v/>
      </c>
      <c r="Z150" s="41">
        <f>IF($A150="","",IF($P150="","",IFERROR(INDEX('Opportunities'!$O$6:$O$205,MATCH($P150,'Opportunities'!$A$6:$A$205,0)),"")))</f>
        <v/>
      </c>
      <c r="AA150" s="41">
        <f>IF($A150="","",IF($P150="","",IFERROR(INDEX('Opportunities'!$P$6:$P$205,MATCH($P150,'Opportunities'!$A$6:$A$205,0)),"")))</f>
        <v/>
      </c>
      <c r="AB150" s="41">
        <f>IF($A150="","",IF($P150="","",IFERROR(INDEX('Opportunities'!$Q$6:$Q$205,MATCH($P150,'Opportunities'!$A$6:$A$205,0)),"")))</f>
        <v/>
      </c>
      <c r="AC150" s="71">
        <f>IF($A150="","",IF($P150="","",IFERROR(INDEX('Opportunities'!$Z$6:$Z$205,MATCH($P150,'Opportunities'!$A$6:$A$205,0)),"")))</f>
        <v/>
      </c>
      <c r="AD150" s="71">
        <f>IF($A150="","",IF($P150="","",IFERROR(INDEX('Opportunities'!$AJ$6:$AJ$205,MATCH($P150,'Opportunities'!$A$6:$A$205,0)),"")))</f>
        <v/>
      </c>
      <c r="AE150" s="72">
        <f>IF($A150="","",IF($P150="","",IFERROR(INDEX('Opportunities'!$AA$6:$AA$205,MATCH($P150,'Opportunities'!$A$6:$A$205,0)),"")))</f>
        <v/>
      </c>
      <c r="AF150" s="73">
        <f>IF($A150="","",IF($P150="","",IFERROR(INDEX('Opportunities'!$AF$6:$AF$205,MATCH($P150,'Opportunities'!$A$6:$A$205,0)),"")))</f>
        <v/>
      </c>
      <c r="AG150" s="41">
        <f>IF($A150="","",IF($P150="","",IFERROR(INDEX('Opportunities'!$AB$6:$AB$205,MATCH($P150,'Opportunities'!$A$6:$A$205,0)),"")))</f>
        <v/>
      </c>
      <c r="AH150" s="74">
        <f>IF($A150="","",IF($P150="","",IFERROR(($U150+$V150-$J150-$K150)*24,0)))</f>
        <v/>
      </c>
      <c r="AI150" s="38">
        <f>IF($A150="","",IF($P150="","No load selected",IF($AH150&lt;IFERROR($Z150/'Settings'!$B$11,0)+'Settings'!$B$12,"Too tight",IF($AH150&gt;'Settings'!$B$13,"Long wait","Feasible"))))</f>
        <v/>
      </c>
      <c r="AJ150" s="41">
        <f>IF($A150="","",IF($P150="","",$N150-$Z150-$AB150))</f>
        <v/>
      </c>
      <c r="AK150" s="38">
        <f>IF($A150="","",IF(COUNTIF($A$6:$A$205,$A150)&gt;1,"Duplicate Trip ID",IF($P150="","Open",IF(COUNTIF('Opportunities'!$A$6:$A$205,$P150)=0,"Load ID not found",IF(COUNTIFS('Opportunities'!$A$6:$A$205,$P150,'Opportunities'!$B$6:$B$205,$A150)=0,"Trip mismatch",IF(COUNTIF($P$6:$P$205,$P150)&gt;1,"Duplicate selection",IF(AND(OR($O150="Booked",$O150="Completed"),AND($Q150&lt;&gt;"Booked",$Q150&lt;&gt;"Completed")),"Status mismatch","OK")))))))</f>
        <v/>
      </c>
      <c r="AL150" s="46" t="n"/>
    </row>
    <row r="151">
      <c r="A151" s="34" t="n"/>
      <c r="B151" s="34" t="n"/>
      <c r="C151" s="34" t="n"/>
      <c r="D151" s="34" t="n"/>
      <c r="E151" s="34" t="n"/>
      <c r="F151" s="34" t="n"/>
      <c r="G151" s="34" t="n"/>
      <c r="H151" s="69" t="n"/>
      <c r="I151" s="36" t="n"/>
      <c r="J151" s="69" t="n"/>
      <c r="K151" s="36" t="n"/>
      <c r="L151" s="34" t="n"/>
      <c r="M151" s="34" t="n"/>
      <c r="N151" s="37" t="n"/>
      <c r="O151" s="34" t="n"/>
      <c r="P151" s="34" t="n"/>
      <c r="Q151" s="38">
        <f>IF($A151="","",IF($P151="","",IFERROR(INDEX('Opportunities'!$C$6:$C$205,MATCH($P151,'Opportunities'!$A$6:$A$205,0)),"")))</f>
        <v/>
      </c>
      <c r="R151" s="38">
        <f>IF($A151="","",IF($P151="","",IFERROR(INDEX('Opportunities'!$D$6:$D$205,MATCH($P151,'Opportunities'!$A$6:$A$205,0)),"")))</f>
        <v/>
      </c>
      <c r="S151" s="38">
        <f>IF($A151="","",IF($P151="","",IFERROR(INDEX('Opportunities'!$E$6:$E$205,MATCH($P151,'Opportunities'!$A$6:$A$205,0)),"")))</f>
        <v/>
      </c>
      <c r="T151" s="38">
        <f>IF($A151="","",IF($P151="","",IFERROR(INDEX('Opportunities'!$F$6:$F$205,MATCH($P151,'Opportunities'!$A$6:$A$205,0)),"")))</f>
        <v/>
      </c>
      <c r="U151" s="70">
        <f>IF($A151="","",IF($P151="","",IFERROR(INDEX('Opportunities'!$G$6:$G$205,MATCH($P151,'Opportunities'!$A$6:$A$205,0)),"")))</f>
        <v/>
      </c>
      <c r="V151" s="40">
        <f>IF($A151="","",IF($P151="","",IFERROR(INDEX('Opportunities'!$H$6:$H$205,MATCH($P151,'Opportunities'!$A$6:$A$205,0)),"")))</f>
        <v/>
      </c>
      <c r="W151" s="38">
        <f>IF($A151="","",IF($P151="","",IFERROR(INDEX('Opportunities'!$I$6:$I$205,MATCH($P151,'Opportunities'!$A$6:$A$205,0)),"")))</f>
        <v/>
      </c>
      <c r="X151" s="38">
        <f>IF($A151="","",IF($P151="","",IFERROR(INDEX('Opportunities'!$J$6:$J$205,MATCH($P151,'Opportunities'!$A$6:$A$205,0)),"")))</f>
        <v/>
      </c>
      <c r="Y151" s="70">
        <f>IF($A151="","",IF($P151="","",IFERROR(INDEX('Opportunities'!$K$6:$K$205,MATCH($P151,'Opportunities'!$A$6:$A$205,0)),"")))</f>
        <v/>
      </c>
      <c r="Z151" s="41">
        <f>IF($A151="","",IF($P151="","",IFERROR(INDEX('Opportunities'!$O$6:$O$205,MATCH($P151,'Opportunities'!$A$6:$A$205,0)),"")))</f>
        <v/>
      </c>
      <c r="AA151" s="41">
        <f>IF($A151="","",IF($P151="","",IFERROR(INDEX('Opportunities'!$P$6:$P$205,MATCH($P151,'Opportunities'!$A$6:$A$205,0)),"")))</f>
        <v/>
      </c>
      <c r="AB151" s="41">
        <f>IF($A151="","",IF($P151="","",IFERROR(INDEX('Opportunities'!$Q$6:$Q$205,MATCH($P151,'Opportunities'!$A$6:$A$205,0)),"")))</f>
        <v/>
      </c>
      <c r="AC151" s="71">
        <f>IF($A151="","",IF($P151="","",IFERROR(INDEX('Opportunities'!$Z$6:$Z$205,MATCH($P151,'Opportunities'!$A$6:$A$205,0)),"")))</f>
        <v/>
      </c>
      <c r="AD151" s="71">
        <f>IF($A151="","",IF($P151="","",IFERROR(INDEX('Opportunities'!$AJ$6:$AJ$205,MATCH($P151,'Opportunities'!$A$6:$A$205,0)),"")))</f>
        <v/>
      </c>
      <c r="AE151" s="72">
        <f>IF($A151="","",IF($P151="","",IFERROR(INDEX('Opportunities'!$AA$6:$AA$205,MATCH($P151,'Opportunities'!$A$6:$A$205,0)),"")))</f>
        <v/>
      </c>
      <c r="AF151" s="73">
        <f>IF($A151="","",IF($P151="","",IFERROR(INDEX('Opportunities'!$AF$6:$AF$205,MATCH($P151,'Opportunities'!$A$6:$A$205,0)),"")))</f>
        <v/>
      </c>
      <c r="AG151" s="41">
        <f>IF($A151="","",IF($P151="","",IFERROR(INDEX('Opportunities'!$AB$6:$AB$205,MATCH($P151,'Opportunities'!$A$6:$A$205,0)),"")))</f>
        <v/>
      </c>
      <c r="AH151" s="74">
        <f>IF($A151="","",IF($P151="","",IFERROR(($U151+$V151-$J151-$K151)*24,0)))</f>
        <v/>
      </c>
      <c r="AI151" s="38">
        <f>IF($A151="","",IF($P151="","No load selected",IF($AH151&lt;IFERROR($Z151/'Settings'!$B$11,0)+'Settings'!$B$12,"Too tight",IF($AH151&gt;'Settings'!$B$13,"Long wait","Feasible"))))</f>
        <v/>
      </c>
      <c r="AJ151" s="41">
        <f>IF($A151="","",IF($P151="","",$N151-$Z151-$AB151))</f>
        <v/>
      </c>
      <c r="AK151" s="38">
        <f>IF($A151="","",IF(COUNTIF($A$6:$A$205,$A151)&gt;1,"Duplicate Trip ID",IF($P151="","Open",IF(COUNTIF('Opportunities'!$A$6:$A$205,$P151)=0,"Load ID not found",IF(COUNTIFS('Opportunities'!$A$6:$A$205,$P151,'Opportunities'!$B$6:$B$205,$A151)=0,"Trip mismatch",IF(COUNTIF($P$6:$P$205,$P151)&gt;1,"Duplicate selection",IF(AND(OR($O151="Booked",$O151="Completed"),AND($Q151&lt;&gt;"Booked",$Q151&lt;&gt;"Completed")),"Status mismatch","OK")))))))</f>
        <v/>
      </c>
      <c r="AL151" s="46" t="n"/>
    </row>
    <row r="152">
      <c r="A152" s="34" t="n"/>
      <c r="B152" s="34" t="n"/>
      <c r="C152" s="34" t="n"/>
      <c r="D152" s="34" t="n"/>
      <c r="E152" s="34" t="n"/>
      <c r="F152" s="34" t="n"/>
      <c r="G152" s="34" t="n"/>
      <c r="H152" s="69" t="n"/>
      <c r="I152" s="36" t="n"/>
      <c r="J152" s="69" t="n"/>
      <c r="K152" s="36" t="n"/>
      <c r="L152" s="34" t="n"/>
      <c r="M152" s="34" t="n"/>
      <c r="N152" s="37" t="n"/>
      <c r="O152" s="34" t="n"/>
      <c r="P152" s="34" t="n"/>
      <c r="Q152" s="38">
        <f>IF($A152="","",IF($P152="","",IFERROR(INDEX('Opportunities'!$C$6:$C$205,MATCH($P152,'Opportunities'!$A$6:$A$205,0)),"")))</f>
        <v/>
      </c>
      <c r="R152" s="38">
        <f>IF($A152="","",IF($P152="","",IFERROR(INDEX('Opportunities'!$D$6:$D$205,MATCH($P152,'Opportunities'!$A$6:$A$205,0)),"")))</f>
        <v/>
      </c>
      <c r="S152" s="38">
        <f>IF($A152="","",IF($P152="","",IFERROR(INDEX('Opportunities'!$E$6:$E$205,MATCH($P152,'Opportunities'!$A$6:$A$205,0)),"")))</f>
        <v/>
      </c>
      <c r="T152" s="38">
        <f>IF($A152="","",IF($P152="","",IFERROR(INDEX('Opportunities'!$F$6:$F$205,MATCH($P152,'Opportunities'!$A$6:$A$205,0)),"")))</f>
        <v/>
      </c>
      <c r="U152" s="70">
        <f>IF($A152="","",IF($P152="","",IFERROR(INDEX('Opportunities'!$G$6:$G$205,MATCH($P152,'Opportunities'!$A$6:$A$205,0)),"")))</f>
        <v/>
      </c>
      <c r="V152" s="40">
        <f>IF($A152="","",IF($P152="","",IFERROR(INDEX('Opportunities'!$H$6:$H$205,MATCH($P152,'Opportunities'!$A$6:$A$205,0)),"")))</f>
        <v/>
      </c>
      <c r="W152" s="38">
        <f>IF($A152="","",IF($P152="","",IFERROR(INDEX('Opportunities'!$I$6:$I$205,MATCH($P152,'Opportunities'!$A$6:$A$205,0)),"")))</f>
        <v/>
      </c>
      <c r="X152" s="38">
        <f>IF($A152="","",IF($P152="","",IFERROR(INDEX('Opportunities'!$J$6:$J$205,MATCH($P152,'Opportunities'!$A$6:$A$205,0)),"")))</f>
        <v/>
      </c>
      <c r="Y152" s="70">
        <f>IF($A152="","",IF($P152="","",IFERROR(INDEX('Opportunities'!$K$6:$K$205,MATCH($P152,'Opportunities'!$A$6:$A$205,0)),"")))</f>
        <v/>
      </c>
      <c r="Z152" s="41">
        <f>IF($A152="","",IF($P152="","",IFERROR(INDEX('Opportunities'!$O$6:$O$205,MATCH($P152,'Opportunities'!$A$6:$A$205,0)),"")))</f>
        <v/>
      </c>
      <c r="AA152" s="41">
        <f>IF($A152="","",IF($P152="","",IFERROR(INDEX('Opportunities'!$P$6:$P$205,MATCH($P152,'Opportunities'!$A$6:$A$205,0)),"")))</f>
        <v/>
      </c>
      <c r="AB152" s="41">
        <f>IF($A152="","",IF($P152="","",IFERROR(INDEX('Opportunities'!$Q$6:$Q$205,MATCH($P152,'Opportunities'!$A$6:$A$205,0)),"")))</f>
        <v/>
      </c>
      <c r="AC152" s="71">
        <f>IF($A152="","",IF($P152="","",IFERROR(INDEX('Opportunities'!$Z$6:$Z$205,MATCH($P152,'Opportunities'!$A$6:$A$205,0)),"")))</f>
        <v/>
      </c>
      <c r="AD152" s="71">
        <f>IF($A152="","",IF($P152="","",IFERROR(INDEX('Opportunities'!$AJ$6:$AJ$205,MATCH($P152,'Opportunities'!$A$6:$A$205,0)),"")))</f>
        <v/>
      </c>
      <c r="AE152" s="72">
        <f>IF($A152="","",IF($P152="","",IFERROR(INDEX('Opportunities'!$AA$6:$AA$205,MATCH($P152,'Opportunities'!$A$6:$A$205,0)),"")))</f>
        <v/>
      </c>
      <c r="AF152" s="73">
        <f>IF($A152="","",IF($P152="","",IFERROR(INDEX('Opportunities'!$AF$6:$AF$205,MATCH($P152,'Opportunities'!$A$6:$A$205,0)),"")))</f>
        <v/>
      </c>
      <c r="AG152" s="41">
        <f>IF($A152="","",IF($P152="","",IFERROR(INDEX('Opportunities'!$AB$6:$AB$205,MATCH($P152,'Opportunities'!$A$6:$A$205,0)),"")))</f>
        <v/>
      </c>
      <c r="AH152" s="74">
        <f>IF($A152="","",IF($P152="","",IFERROR(($U152+$V152-$J152-$K152)*24,0)))</f>
        <v/>
      </c>
      <c r="AI152" s="38">
        <f>IF($A152="","",IF($P152="","No load selected",IF($AH152&lt;IFERROR($Z152/'Settings'!$B$11,0)+'Settings'!$B$12,"Too tight",IF($AH152&gt;'Settings'!$B$13,"Long wait","Feasible"))))</f>
        <v/>
      </c>
      <c r="AJ152" s="41">
        <f>IF($A152="","",IF($P152="","",$N152-$Z152-$AB152))</f>
        <v/>
      </c>
      <c r="AK152" s="38">
        <f>IF($A152="","",IF(COUNTIF($A$6:$A$205,$A152)&gt;1,"Duplicate Trip ID",IF($P152="","Open",IF(COUNTIF('Opportunities'!$A$6:$A$205,$P152)=0,"Load ID not found",IF(COUNTIFS('Opportunities'!$A$6:$A$205,$P152,'Opportunities'!$B$6:$B$205,$A152)=0,"Trip mismatch",IF(COUNTIF($P$6:$P$205,$P152)&gt;1,"Duplicate selection",IF(AND(OR($O152="Booked",$O152="Completed"),AND($Q152&lt;&gt;"Booked",$Q152&lt;&gt;"Completed")),"Status mismatch","OK")))))))</f>
        <v/>
      </c>
      <c r="AL152" s="46" t="n"/>
    </row>
    <row r="153">
      <c r="A153" s="34" t="n"/>
      <c r="B153" s="34" t="n"/>
      <c r="C153" s="34" t="n"/>
      <c r="D153" s="34" t="n"/>
      <c r="E153" s="34" t="n"/>
      <c r="F153" s="34" t="n"/>
      <c r="G153" s="34" t="n"/>
      <c r="H153" s="69" t="n"/>
      <c r="I153" s="36" t="n"/>
      <c r="J153" s="69" t="n"/>
      <c r="K153" s="36" t="n"/>
      <c r="L153" s="34" t="n"/>
      <c r="M153" s="34" t="n"/>
      <c r="N153" s="37" t="n"/>
      <c r="O153" s="34" t="n"/>
      <c r="P153" s="34" t="n"/>
      <c r="Q153" s="38">
        <f>IF($A153="","",IF($P153="","",IFERROR(INDEX('Opportunities'!$C$6:$C$205,MATCH($P153,'Opportunities'!$A$6:$A$205,0)),"")))</f>
        <v/>
      </c>
      <c r="R153" s="38">
        <f>IF($A153="","",IF($P153="","",IFERROR(INDEX('Opportunities'!$D$6:$D$205,MATCH($P153,'Opportunities'!$A$6:$A$205,0)),"")))</f>
        <v/>
      </c>
      <c r="S153" s="38">
        <f>IF($A153="","",IF($P153="","",IFERROR(INDEX('Opportunities'!$E$6:$E$205,MATCH($P153,'Opportunities'!$A$6:$A$205,0)),"")))</f>
        <v/>
      </c>
      <c r="T153" s="38">
        <f>IF($A153="","",IF($P153="","",IFERROR(INDEX('Opportunities'!$F$6:$F$205,MATCH($P153,'Opportunities'!$A$6:$A$205,0)),"")))</f>
        <v/>
      </c>
      <c r="U153" s="70">
        <f>IF($A153="","",IF($P153="","",IFERROR(INDEX('Opportunities'!$G$6:$G$205,MATCH($P153,'Opportunities'!$A$6:$A$205,0)),"")))</f>
        <v/>
      </c>
      <c r="V153" s="40">
        <f>IF($A153="","",IF($P153="","",IFERROR(INDEX('Opportunities'!$H$6:$H$205,MATCH($P153,'Opportunities'!$A$6:$A$205,0)),"")))</f>
        <v/>
      </c>
      <c r="W153" s="38">
        <f>IF($A153="","",IF($P153="","",IFERROR(INDEX('Opportunities'!$I$6:$I$205,MATCH($P153,'Opportunities'!$A$6:$A$205,0)),"")))</f>
        <v/>
      </c>
      <c r="X153" s="38">
        <f>IF($A153="","",IF($P153="","",IFERROR(INDEX('Opportunities'!$J$6:$J$205,MATCH($P153,'Opportunities'!$A$6:$A$205,0)),"")))</f>
        <v/>
      </c>
      <c r="Y153" s="70">
        <f>IF($A153="","",IF($P153="","",IFERROR(INDEX('Opportunities'!$K$6:$K$205,MATCH($P153,'Opportunities'!$A$6:$A$205,0)),"")))</f>
        <v/>
      </c>
      <c r="Z153" s="41">
        <f>IF($A153="","",IF($P153="","",IFERROR(INDEX('Opportunities'!$O$6:$O$205,MATCH($P153,'Opportunities'!$A$6:$A$205,0)),"")))</f>
        <v/>
      </c>
      <c r="AA153" s="41">
        <f>IF($A153="","",IF($P153="","",IFERROR(INDEX('Opportunities'!$P$6:$P$205,MATCH($P153,'Opportunities'!$A$6:$A$205,0)),"")))</f>
        <v/>
      </c>
      <c r="AB153" s="41">
        <f>IF($A153="","",IF($P153="","",IFERROR(INDEX('Opportunities'!$Q$6:$Q$205,MATCH($P153,'Opportunities'!$A$6:$A$205,0)),"")))</f>
        <v/>
      </c>
      <c r="AC153" s="71">
        <f>IF($A153="","",IF($P153="","",IFERROR(INDEX('Opportunities'!$Z$6:$Z$205,MATCH($P153,'Opportunities'!$A$6:$A$205,0)),"")))</f>
        <v/>
      </c>
      <c r="AD153" s="71">
        <f>IF($A153="","",IF($P153="","",IFERROR(INDEX('Opportunities'!$AJ$6:$AJ$205,MATCH($P153,'Opportunities'!$A$6:$A$205,0)),"")))</f>
        <v/>
      </c>
      <c r="AE153" s="72">
        <f>IF($A153="","",IF($P153="","",IFERROR(INDEX('Opportunities'!$AA$6:$AA$205,MATCH($P153,'Opportunities'!$A$6:$A$205,0)),"")))</f>
        <v/>
      </c>
      <c r="AF153" s="73">
        <f>IF($A153="","",IF($P153="","",IFERROR(INDEX('Opportunities'!$AF$6:$AF$205,MATCH($P153,'Opportunities'!$A$6:$A$205,0)),"")))</f>
        <v/>
      </c>
      <c r="AG153" s="41">
        <f>IF($A153="","",IF($P153="","",IFERROR(INDEX('Opportunities'!$AB$6:$AB$205,MATCH($P153,'Opportunities'!$A$6:$A$205,0)),"")))</f>
        <v/>
      </c>
      <c r="AH153" s="74">
        <f>IF($A153="","",IF($P153="","",IFERROR(($U153+$V153-$J153-$K153)*24,0)))</f>
        <v/>
      </c>
      <c r="AI153" s="38">
        <f>IF($A153="","",IF($P153="","No load selected",IF($AH153&lt;IFERROR($Z153/'Settings'!$B$11,0)+'Settings'!$B$12,"Too tight",IF($AH153&gt;'Settings'!$B$13,"Long wait","Feasible"))))</f>
        <v/>
      </c>
      <c r="AJ153" s="41">
        <f>IF($A153="","",IF($P153="","",$N153-$Z153-$AB153))</f>
        <v/>
      </c>
      <c r="AK153" s="38">
        <f>IF($A153="","",IF(COUNTIF($A$6:$A$205,$A153)&gt;1,"Duplicate Trip ID",IF($P153="","Open",IF(COUNTIF('Opportunities'!$A$6:$A$205,$P153)=0,"Load ID not found",IF(COUNTIFS('Opportunities'!$A$6:$A$205,$P153,'Opportunities'!$B$6:$B$205,$A153)=0,"Trip mismatch",IF(COUNTIF($P$6:$P$205,$P153)&gt;1,"Duplicate selection",IF(AND(OR($O153="Booked",$O153="Completed"),AND($Q153&lt;&gt;"Booked",$Q153&lt;&gt;"Completed")),"Status mismatch","OK")))))))</f>
        <v/>
      </c>
      <c r="AL153" s="46" t="n"/>
    </row>
    <row r="154">
      <c r="A154" s="34" t="n"/>
      <c r="B154" s="34" t="n"/>
      <c r="C154" s="34" t="n"/>
      <c r="D154" s="34" t="n"/>
      <c r="E154" s="34" t="n"/>
      <c r="F154" s="34" t="n"/>
      <c r="G154" s="34" t="n"/>
      <c r="H154" s="69" t="n"/>
      <c r="I154" s="36" t="n"/>
      <c r="J154" s="69" t="n"/>
      <c r="K154" s="36" t="n"/>
      <c r="L154" s="34" t="n"/>
      <c r="M154" s="34" t="n"/>
      <c r="N154" s="37" t="n"/>
      <c r="O154" s="34" t="n"/>
      <c r="P154" s="34" t="n"/>
      <c r="Q154" s="38">
        <f>IF($A154="","",IF($P154="","",IFERROR(INDEX('Opportunities'!$C$6:$C$205,MATCH($P154,'Opportunities'!$A$6:$A$205,0)),"")))</f>
        <v/>
      </c>
      <c r="R154" s="38">
        <f>IF($A154="","",IF($P154="","",IFERROR(INDEX('Opportunities'!$D$6:$D$205,MATCH($P154,'Opportunities'!$A$6:$A$205,0)),"")))</f>
        <v/>
      </c>
      <c r="S154" s="38">
        <f>IF($A154="","",IF($P154="","",IFERROR(INDEX('Opportunities'!$E$6:$E$205,MATCH($P154,'Opportunities'!$A$6:$A$205,0)),"")))</f>
        <v/>
      </c>
      <c r="T154" s="38">
        <f>IF($A154="","",IF($P154="","",IFERROR(INDEX('Opportunities'!$F$6:$F$205,MATCH($P154,'Opportunities'!$A$6:$A$205,0)),"")))</f>
        <v/>
      </c>
      <c r="U154" s="70">
        <f>IF($A154="","",IF($P154="","",IFERROR(INDEX('Opportunities'!$G$6:$G$205,MATCH($P154,'Opportunities'!$A$6:$A$205,0)),"")))</f>
        <v/>
      </c>
      <c r="V154" s="40">
        <f>IF($A154="","",IF($P154="","",IFERROR(INDEX('Opportunities'!$H$6:$H$205,MATCH($P154,'Opportunities'!$A$6:$A$205,0)),"")))</f>
        <v/>
      </c>
      <c r="W154" s="38">
        <f>IF($A154="","",IF($P154="","",IFERROR(INDEX('Opportunities'!$I$6:$I$205,MATCH($P154,'Opportunities'!$A$6:$A$205,0)),"")))</f>
        <v/>
      </c>
      <c r="X154" s="38">
        <f>IF($A154="","",IF($P154="","",IFERROR(INDEX('Opportunities'!$J$6:$J$205,MATCH($P154,'Opportunities'!$A$6:$A$205,0)),"")))</f>
        <v/>
      </c>
      <c r="Y154" s="70">
        <f>IF($A154="","",IF($P154="","",IFERROR(INDEX('Opportunities'!$K$6:$K$205,MATCH($P154,'Opportunities'!$A$6:$A$205,0)),"")))</f>
        <v/>
      </c>
      <c r="Z154" s="41">
        <f>IF($A154="","",IF($P154="","",IFERROR(INDEX('Opportunities'!$O$6:$O$205,MATCH($P154,'Opportunities'!$A$6:$A$205,0)),"")))</f>
        <v/>
      </c>
      <c r="AA154" s="41">
        <f>IF($A154="","",IF($P154="","",IFERROR(INDEX('Opportunities'!$P$6:$P$205,MATCH($P154,'Opportunities'!$A$6:$A$205,0)),"")))</f>
        <v/>
      </c>
      <c r="AB154" s="41">
        <f>IF($A154="","",IF($P154="","",IFERROR(INDEX('Opportunities'!$Q$6:$Q$205,MATCH($P154,'Opportunities'!$A$6:$A$205,0)),"")))</f>
        <v/>
      </c>
      <c r="AC154" s="71">
        <f>IF($A154="","",IF($P154="","",IFERROR(INDEX('Opportunities'!$Z$6:$Z$205,MATCH($P154,'Opportunities'!$A$6:$A$205,0)),"")))</f>
        <v/>
      </c>
      <c r="AD154" s="71">
        <f>IF($A154="","",IF($P154="","",IFERROR(INDEX('Opportunities'!$AJ$6:$AJ$205,MATCH($P154,'Opportunities'!$A$6:$A$205,0)),"")))</f>
        <v/>
      </c>
      <c r="AE154" s="72">
        <f>IF($A154="","",IF($P154="","",IFERROR(INDEX('Opportunities'!$AA$6:$AA$205,MATCH($P154,'Opportunities'!$A$6:$A$205,0)),"")))</f>
        <v/>
      </c>
      <c r="AF154" s="73">
        <f>IF($A154="","",IF($P154="","",IFERROR(INDEX('Opportunities'!$AF$6:$AF$205,MATCH($P154,'Opportunities'!$A$6:$A$205,0)),"")))</f>
        <v/>
      </c>
      <c r="AG154" s="41">
        <f>IF($A154="","",IF($P154="","",IFERROR(INDEX('Opportunities'!$AB$6:$AB$205,MATCH($P154,'Opportunities'!$A$6:$A$205,0)),"")))</f>
        <v/>
      </c>
      <c r="AH154" s="74">
        <f>IF($A154="","",IF($P154="","",IFERROR(($U154+$V154-$J154-$K154)*24,0)))</f>
        <v/>
      </c>
      <c r="AI154" s="38">
        <f>IF($A154="","",IF($P154="","No load selected",IF($AH154&lt;IFERROR($Z154/'Settings'!$B$11,0)+'Settings'!$B$12,"Too tight",IF($AH154&gt;'Settings'!$B$13,"Long wait","Feasible"))))</f>
        <v/>
      </c>
      <c r="AJ154" s="41">
        <f>IF($A154="","",IF($P154="","",$N154-$Z154-$AB154))</f>
        <v/>
      </c>
      <c r="AK154" s="38">
        <f>IF($A154="","",IF(COUNTIF($A$6:$A$205,$A154)&gt;1,"Duplicate Trip ID",IF($P154="","Open",IF(COUNTIF('Opportunities'!$A$6:$A$205,$P154)=0,"Load ID not found",IF(COUNTIFS('Opportunities'!$A$6:$A$205,$P154,'Opportunities'!$B$6:$B$205,$A154)=0,"Trip mismatch",IF(COUNTIF($P$6:$P$205,$P154)&gt;1,"Duplicate selection",IF(AND(OR($O154="Booked",$O154="Completed"),AND($Q154&lt;&gt;"Booked",$Q154&lt;&gt;"Completed")),"Status mismatch","OK")))))))</f>
        <v/>
      </c>
      <c r="AL154" s="46" t="n"/>
    </row>
    <row r="155">
      <c r="A155" s="34" t="n"/>
      <c r="B155" s="34" t="n"/>
      <c r="C155" s="34" t="n"/>
      <c r="D155" s="34" t="n"/>
      <c r="E155" s="34" t="n"/>
      <c r="F155" s="34" t="n"/>
      <c r="G155" s="34" t="n"/>
      <c r="H155" s="69" t="n"/>
      <c r="I155" s="36" t="n"/>
      <c r="J155" s="69" t="n"/>
      <c r="K155" s="36" t="n"/>
      <c r="L155" s="34" t="n"/>
      <c r="M155" s="34" t="n"/>
      <c r="N155" s="37" t="n"/>
      <c r="O155" s="34" t="n"/>
      <c r="P155" s="34" t="n"/>
      <c r="Q155" s="38">
        <f>IF($A155="","",IF($P155="","",IFERROR(INDEX('Opportunities'!$C$6:$C$205,MATCH($P155,'Opportunities'!$A$6:$A$205,0)),"")))</f>
        <v/>
      </c>
      <c r="R155" s="38">
        <f>IF($A155="","",IF($P155="","",IFERROR(INDEX('Opportunities'!$D$6:$D$205,MATCH($P155,'Opportunities'!$A$6:$A$205,0)),"")))</f>
        <v/>
      </c>
      <c r="S155" s="38">
        <f>IF($A155="","",IF($P155="","",IFERROR(INDEX('Opportunities'!$E$6:$E$205,MATCH($P155,'Opportunities'!$A$6:$A$205,0)),"")))</f>
        <v/>
      </c>
      <c r="T155" s="38">
        <f>IF($A155="","",IF($P155="","",IFERROR(INDEX('Opportunities'!$F$6:$F$205,MATCH($P155,'Opportunities'!$A$6:$A$205,0)),"")))</f>
        <v/>
      </c>
      <c r="U155" s="70">
        <f>IF($A155="","",IF($P155="","",IFERROR(INDEX('Opportunities'!$G$6:$G$205,MATCH($P155,'Opportunities'!$A$6:$A$205,0)),"")))</f>
        <v/>
      </c>
      <c r="V155" s="40">
        <f>IF($A155="","",IF($P155="","",IFERROR(INDEX('Opportunities'!$H$6:$H$205,MATCH($P155,'Opportunities'!$A$6:$A$205,0)),"")))</f>
        <v/>
      </c>
      <c r="W155" s="38">
        <f>IF($A155="","",IF($P155="","",IFERROR(INDEX('Opportunities'!$I$6:$I$205,MATCH($P155,'Opportunities'!$A$6:$A$205,0)),"")))</f>
        <v/>
      </c>
      <c r="X155" s="38">
        <f>IF($A155="","",IF($P155="","",IFERROR(INDEX('Opportunities'!$J$6:$J$205,MATCH($P155,'Opportunities'!$A$6:$A$205,0)),"")))</f>
        <v/>
      </c>
      <c r="Y155" s="70">
        <f>IF($A155="","",IF($P155="","",IFERROR(INDEX('Opportunities'!$K$6:$K$205,MATCH($P155,'Opportunities'!$A$6:$A$205,0)),"")))</f>
        <v/>
      </c>
      <c r="Z155" s="41">
        <f>IF($A155="","",IF($P155="","",IFERROR(INDEX('Opportunities'!$O$6:$O$205,MATCH($P155,'Opportunities'!$A$6:$A$205,0)),"")))</f>
        <v/>
      </c>
      <c r="AA155" s="41">
        <f>IF($A155="","",IF($P155="","",IFERROR(INDEX('Opportunities'!$P$6:$P$205,MATCH($P155,'Opportunities'!$A$6:$A$205,0)),"")))</f>
        <v/>
      </c>
      <c r="AB155" s="41">
        <f>IF($A155="","",IF($P155="","",IFERROR(INDEX('Opportunities'!$Q$6:$Q$205,MATCH($P155,'Opportunities'!$A$6:$A$205,0)),"")))</f>
        <v/>
      </c>
      <c r="AC155" s="71">
        <f>IF($A155="","",IF($P155="","",IFERROR(INDEX('Opportunities'!$Z$6:$Z$205,MATCH($P155,'Opportunities'!$A$6:$A$205,0)),"")))</f>
        <v/>
      </c>
      <c r="AD155" s="71">
        <f>IF($A155="","",IF($P155="","",IFERROR(INDEX('Opportunities'!$AJ$6:$AJ$205,MATCH($P155,'Opportunities'!$A$6:$A$205,0)),"")))</f>
        <v/>
      </c>
      <c r="AE155" s="72">
        <f>IF($A155="","",IF($P155="","",IFERROR(INDEX('Opportunities'!$AA$6:$AA$205,MATCH($P155,'Opportunities'!$A$6:$A$205,0)),"")))</f>
        <v/>
      </c>
      <c r="AF155" s="73">
        <f>IF($A155="","",IF($P155="","",IFERROR(INDEX('Opportunities'!$AF$6:$AF$205,MATCH($P155,'Opportunities'!$A$6:$A$205,0)),"")))</f>
        <v/>
      </c>
      <c r="AG155" s="41">
        <f>IF($A155="","",IF($P155="","",IFERROR(INDEX('Opportunities'!$AB$6:$AB$205,MATCH($P155,'Opportunities'!$A$6:$A$205,0)),"")))</f>
        <v/>
      </c>
      <c r="AH155" s="74">
        <f>IF($A155="","",IF($P155="","",IFERROR(($U155+$V155-$J155-$K155)*24,0)))</f>
        <v/>
      </c>
      <c r="AI155" s="38">
        <f>IF($A155="","",IF($P155="","No load selected",IF($AH155&lt;IFERROR($Z155/'Settings'!$B$11,0)+'Settings'!$B$12,"Too tight",IF($AH155&gt;'Settings'!$B$13,"Long wait","Feasible"))))</f>
        <v/>
      </c>
      <c r="AJ155" s="41">
        <f>IF($A155="","",IF($P155="","",$N155-$Z155-$AB155))</f>
        <v/>
      </c>
      <c r="AK155" s="38">
        <f>IF($A155="","",IF(COUNTIF($A$6:$A$205,$A155)&gt;1,"Duplicate Trip ID",IF($P155="","Open",IF(COUNTIF('Opportunities'!$A$6:$A$205,$P155)=0,"Load ID not found",IF(COUNTIFS('Opportunities'!$A$6:$A$205,$P155,'Opportunities'!$B$6:$B$205,$A155)=0,"Trip mismatch",IF(COUNTIF($P$6:$P$205,$P155)&gt;1,"Duplicate selection",IF(AND(OR($O155="Booked",$O155="Completed"),AND($Q155&lt;&gt;"Booked",$Q155&lt;&gt;"Completed")),"Status mismatch","OK")))))))</f>
        <v/>
      </c>
      <c r="AL155" s="46" t="n"/>
    </row>
    <row r="156">
      <c r="A156" s="34" t="n"/>
      <c r="B156" s="34" t="n"/>
      <c r="C156" s="34" t="n"/>
      <c r="D156" s="34" t="n"/>
      <c r="E156" s="34" t="n"/>
      <c r="F156" s="34" t="n"/>
      <c r="G156" s="34" t="n"/>
      <c r="H156" s="69" t="n"/>
      <c r="I156" s="36" t="n"/>
      <c r="J156" s="69" t="n"/>
      <c r="K156" s="36" t="n"/>
      <c r="L156" s="34" t="n"/>
      <c r="M156" s="34" t="n"/>
      <c r="N156" s="37" t="n"/>
      <c r="O156" s="34" t="n"/>
      <c r="P156" s="34" t="n"/>
      <c r="Q156" s="38">
        <f>IF($A156="","",IF($P156="","",IFERROR(INDEX('Opportunities'!$C$6:$C$205,MATCH($P156,'Opportunities'!$A$6:$A$205,0)),"")))</f>
        <v/>
      </c>
      <c r="R156" s="38">
        <f>IF($A156="","",IF($P156="","",IFERROR(INDEX('Opportunities'!$D$6:$D$205,MATCH($P156,'Opportunities'!$A$6:$A$205,0)),"")))</f>
        <v/>
      </c>
      <c r="S156" s="38">
        <f>IF($A156="","",IF($P156="","",IFERROR(INDEX('Opportunities'!$E$6:$E$205,MATCH($P156,'Opportunities'!$A$6:$A$205,0)),"")))</f>
        <v/>
      </c>
      <c r="T156" s="38">
        <f>IF($A156="","",IF($P156="","",IFERROR(INDEX('Opportunities'!$F$6:$F$205,MATCH($P156,'Opportunities'!$A$6:$A$205,0)),"")))</f>
        <v/>
      </c>
      <c r="U156" s="70">
        <f>IF($A156="","",IF($P156="","",IFERROR(INDEX('Opportunities'!$G$6:$G$205,MATCH($P156,'Opportunities'!$A$6:$A$205,0)),"")))</f>
        <v/>
      </c>
      <c r="V156" s="40">
        <f>IF($A156="","",IF($P156="","",IFERROR(INDEX('Opportunities'!$H$6:$H$205,MATCH($P156,'Opportunities'!$A$6:$A$205,0)),"")))</f>
        <v/>
      </c>
      <c r="W156" s="38">
        <f>IF($A156="","",IF($P156="","",IFERROR(INDEX('Opportunities'!$I$6:$I$205,MATCH($P156,'Opportunities'!$A$6:$A$205,0)),"")))</f>
        <v/>
      </c>
      <c r="X156" s="38">
        <f>IF($A156="","",IF($P156="","",IFERROR(INDEX('Opportunities'!$J$6:$J$205,MATCH($P156,'Opportunities'!$A$6:$A$205,0)),"")))</f>
        <v/>
      </c>
      <c r="Y156" s="70">
        <f>IF($A156="","",IF($P156="","",IFERROR(INDEX('Opportunities'!$K$6:$K$205,MATCH($P156,'Opportunities'!$A$6:$A$205,0)),"")))</f>
        <v/>
      </c>
      <c r="Z156" s="41">
        <f>IF($A156="","",IF($P156="","",IFERROR(INDEX('Opportunities'!$O$6:$O$205,MATCH($P156,'Opportunities'!$A$6:$A$205,0)),"")))</f>
        <v/>
      </c>
      <c r="AA156" s="41">
        <f>IF($A156="","",IF($P156="","",IFERROR(INDEX('Opportunities'!$P$6:$P$205,MATCH($P156,'Opportunities'!$A$6:$A$205,0)),"")))</f>
        <v/>
      </c>
      <c r="AB156" s="41">
        <f>IF($A156="","",IF($P156="","",IFERROR(INDEX('Opportunities'!$Q$6:$Q$205,MATCH($P156,'Opportunities'!$A$6:$A$205,0)),"")))</f>
        <v/>
      </c>
      <c r="AC156" s="71">
        <f>IF($A156="","",IF($P156="","",IFERROR(INDEX('Opportunities'!$Z$6:$Z$205,MATCH($P156,'Opportunities'!$A$6:$A$205,0)),"")))</f>
        <v/>
      </c>
      <c r="AD156" s="71">
        <f>IF($A156="","",IF($P156="","",IFERROR(INDEX('Opportunities'!$AJ$6:$AJ$205,MATCH($P156,'Opportunities'!$A$6:$A$205,0)),"")))</f>
        <v/>
      </c>
      <c r="AE156" s="72">
        <f>IF($A156="","",IF($P156="","",IFERROR(INDEX('Opportunities'!$AA$6:$AA$205,MATCH($P156,'Opportunities'!$A$6:$A$205,0)),"")))</f>
        <v/>
      </c>
      <c r="AF156" s="73">
        <f>IF($A156="","",IF($P156="","",IFERROR(INDEX('Opportunities'!$AF$6:$AF$205,MATCH($P156,'Opportunities'!$A$6:$A$205,0)),"")))</f>
        <v/>
      </c>
      <c r="AG156" s="41">
        <f>IF($A156="","",IF($P156="","",IFERROR(INDEX('Opportunities'!$AB$6:$AB$205,MATCH($P156,'Opportunities'!$A$6:$A$205,0)),"")))</f>
        <v/>
      </c>
      <c r="AH156" s="74">
        <f>IF($A156="","",IF($P156="","",IFERROR(($U156+$V156-$J156-$K156)*24,0)))</f>
        <v/>
      </c>
      <c r="AI156" s="38">
        <f>IF($A156="","",IF($P156="","No load selected",IF($AH156&lt;IFERROR($Z156/'Settings'!$B$11,0)+'Settings'!$B$12,"Too tight",IF($AH156&gt;'Settings'!$B$13,"Long wait","Feasible"))))</f>
        <v/>
      </c>
      <c r="AJ156" s="41">
        <f>IF($A156="","",IF($P156="","",$N156-$Z156-$AB156))</f>
        <v/>
      </c>
      <c r="AK156" s="38">
        <f>IF($A156="","",IF(COUNTIF($A$6:$A$205,$A156)&gt;1,"Duplicate Trip ID",IF($P156="","Open",IF(COUNTIF('Opportunities'!$A$6:$A$205,$P156)=0,"Load ID not found",IF(COUNTIFS('Opportunities'!$A$6:$A$205,$P156,'Opportunities'!$B$6:$B$205,$A156)=0,"Trip mismatch",IF(COUNTIF($P$6:$P$205,$P156)&gt;1,"Duplicate selection",IF(AND(OR($O156="Booked",$O156="Completed"),AND($Q156&lt;&gt;"Booked",$Q156&lt;&gt;"Completed")),"Status mismatch","OK")))))))</f>
        <v/>
      </c>
      <c r="AL156" s="46" t="n"/>
    </row>
    <row r="157">
      <c r="A157" s="34" t="n"/>
      <c r="B157" s="34" t="n"/>
      <c r="C157" s="34" t="n"/>
      <c r="D157" s="34" t="n"/>
      <c r="E157" s="34" t="n"/>
      <c r="F157" s="34" t="n"/>
      <c r="G157" s="34" t="n"/>
      <c r="H157" s="69" t="n"/>
      <c r="I157" s="36" t="n"/>
      <c r="J157" s="69" t="n"/>
      <c r="K157" s="36" t="n"/>
      <c r="L157" s="34" t="n"/>
      <c r="M157" s="34" t="n"/>
      <c r="N157" s="37" t="n"/>
      <c r="O157" s="34" t="n"/>
      <c r="P157" s="34" t="n"/>
      <c r="Q157" s="38">
        <f>IF($A157="","",IF($P157="","",IFERROR(INDEX('Opportunities'!$C$6:$C$205,MATCH($P157,'Opportunities'!$A$6:$A$205,0)),"")))</f>
        <v/>
      </c>
      <c r="R157" s="38">
        <f>IF($A157="","",IF($P157="","",IFERROR(INDEX('Opportunities'!$D$6:$D$205,MATCH($P157,'Opportunities'!$A$6:$A$205,0)),"")))</f>
        <v/>
      </c>
      <c r="S157" s="38">
        <f>IF($A157="","",IF($P157="","",IFERROR(INDEX('Opportunities'!$E$6:$E$205,MATCH($P157,'Opportunities'!$A$6:$A$205,0)),"")))</f>
        <v/>
      </c>
      <c r="T157" s="38">
        <f>IF($A157="","",IF($P157="","",IFERROR(INDEX('Opportunities'!$F$6:$F$205,MATCH($P157,'Opportunities'!$A$6:$A$205,0)),"")))</f>
        <v/>
      </c>
      <c r="U157" s="70">
        <f>IF($A157="","",IF($P157="","",IFERROR(INDEX('Opportunities'!$G$6:$G$205,MATCH($P157,'Opportunities'!$A$6:$A$205,0)),"")))</f>
        <v/>
      </c>
      <c r="V157" s="40">
        <f>IF($A157="","",IF($P157="","",IFERROR(INDEX('Opportunities'!$H$6:$H$205,MATCH($P157,'Opportunities'!$A$6:$A$205,0)),"")))</f>
        <v/>
      </c>
      <c r="W157" s="38">
        <f>IF($A157="","",IF($P157="","",IFERROR(INDEX('Opportunities'!$I$6:$I$205,MATCH($P157,'Opportunities'!$A$6:$A$205,0)),"")))</f>
        <v/>
      </c>
      <c r="X157" s="38">
        <f>IF($A157="","",IF($P157="","",IFERROR(INDEX('Opportunities'!$J$6:$J$205,MATCH($P157,'Opportunities'!$A$6:$A$205,0)),"")))</f>
        <v/>
      </c>
      <c r="Y157" s="70">
        <f>IF($A157="","",IF($P157="","",IFERROR(INDEX('Opportunities'!$K$6:$K$205,MATCH($P157,'Opportunities'!$A$6:$A$205,0)),"")))</f>
        <v/>
      </c>
      <c r="Z157" s="41">
        <f>IF($A157="","",IF($P157="","",IFERROR(INDEX('Opportunities'!$O$6:$O$205,MATCH($P157,'Opportunities'!$A$6:$A$205,0)),"")))</f>
        <v/>
      </c>
      <c r="AA157" s="41">
        <f>IF($A157="","",IF($P157="","",IFERROR(INDEX('Opportunities'!$P$6:$P$205,MATCH($P157,'Opportunities'!$A$6:$A$205,0)),"")))</f>
        <v/>
      </c>
      <c r="AB157" s="41">
        <f>IF($A157="","",IF($P157="","",IFERROR(INDEX('Opportunities'!$Q$6:$Q$205,MATCH($P157,'Opportunities'!$A$6:$A$205,0)),"")))</f>
        <v/>
      </c>
      <c r="AC157" s="71">
        <f>IF($A157="","",IF($P157="","",IFERROR(INDEX('Opportunities'!$Z$6:$Z$205,MATCH($P157,'Opportunities'!$A$6:$A$205,0)),"")))</f>
        <v/>
      </c>
      <c r="AD157" s="71">
        <f>IF($A157="","",IF($P157="","",IFERROR(INDEX('Opportunities'!$AJ$6:$AJ$205,MATCH($P157,'Opportunities'!$A$6:$A$205,0)),"")))</f>
        <v/>
      </c>
      <c r="AE157" s="72">
        <f>IF($A157="","",IF($P157="","",IFERROR(INDEX('Opportunities'!$AA$6:$AA$205,MATCH($P157,'Opportunities'!$A$6:$A$205,0)),"")))</f>
        <v/>
      </c>
      <c r="AF157" s="73">
        <f>IF($A157="","",IF($P157="","",IFERROR(INDEX('Opportunities'!$AF$6:$AF$205,MATCH($P157,'Opportunities'!$A$6:$A$205,0)),"")))</f>
        <v/>
      </c>
      <c r="AG157" s="41">
        <f>IF($A157="","",IF($P157="","",IFERROR(INDEX('Opportunities'!$AB$6:$AB$205,MATCH($P157,'Opportunities'!$A$6:$A$205,0)),"")))</f>
        <v/>
      </c>
      <c r="AH157" s="74">
        <f>IF($A157="","",IF($P157="","",IFERROR(($U157+$V157-$J157-$K157)*24,0)))</f>
        <v/>
      </c>
      <c r="AI157" s="38">
        <f>IF($A157="","",IF($P157="","No load selected",IF($AH157&lt;IFERROR($Z157/'Settings'!$B$11,0)+'Settings'!$B$12,"Too tight",IF($AH157&gt;'Settings'!$B$13,"Long wait","Feasible"))))</f>
        <v/>
      </c>
      <c r="AJ157" s="41">
        <f>IF($A157="","",IF($P157="","",$N157-$Z157-$AB157))</f>
        <v/>
      </c>
      <c r="AK157" s="38">
        <f>IF($A157="","",IF(COUNTIF($A$6:$A$205,$A157)&gt;1,"Duplicate Trip ID",IF($P157="","Open",IF(COUNTIF('Opportunities'!$A$6:$A$205,$P157)=0,"Load ID not found",IF(COUNTIFS('Opportunities'!$A$6:$A$205,$P157,'Opportunities'!$B$6:$B$205,$A157)=0,"Trip mismatch",IF(COUNTIF($P$6:$P$205,$P157)&gt;1,"Duplicate selection",IF(AND(OR($O157="Booked",$O157="Completed"),AND($Q157&lt;&gt;"Booked",$Q157&lt;&gt;"Completed")),"Status mismatch","OK")))))))</f>
        <v/>
      </c>
      <c r="AL157" s="46" t="n"/>
    </row>
    <row r="158">
      <c r="A158" s="34" t="n"/>
      <c r="B158" s="34" t="n"/>
      <c r="C158" s="34" t="n"/>
      <c r="D158" s="34" t="n"/>
      <c r="E158" s="34" t="n"/>
      <c r="F158" s="34" t="n"/>
      <c r="G158" s="34" t="n"/>
      <c r="H158" s="69" t="n"/>
      <c r="I158" s="36" t="n"/>
      <c r="J158" s="69" t="n"/>
      <c r="K158" s="36" t="n"/>
      <c r="L158" s="34" t="n"/>
      <c r="M158" s="34" t="n"/>
      <c r="N158" s="37" t="n"/>
      <c r="O158" s="34" t="n"/>
      <c r="P158" s="34" t="n"/>
      <c r="Q158" s="38">
        <f>IF($A158="","",IF($P158="","",IFERROR(INDEX('Opportunities'!$C$6:$C$205,MATCH($P158,'Opportunities'!$A$6:$A$205,0)),"")))</f>
        <v/>
      </c>
      <c r="R158" s="38">
        <f>IF($A158="","",IF($P158="","",IFERROR(INDEX('Opportunities'!$D$6:$D$205,MATCH($P158,'Opportunities'!$A$6:$A$205,0)),"")))</f>
        <v/>
      </c>
      <c r="S158" s="38">
        <f>IF($A158="","",IF($P158="","",IFERROR(INDEX('Opportunities'!$E$6:$E$205,MATCH($P158,'Opportunities'!$A$6:$A$205,0)),"")))</f>
        <v/>
      </c>
      <c r="T158" s="38">
        <f>IF($A158="","",IF($P158="","",IFERROR(INDEX('Opportunities'!$F$6:$F$205,MATCH($P158,'Opportunities'!$A$6:$A$205,0)),"")))</f>
        <v/>
      </c>
      <c r="U158" s="70">
        <f>IF($A158="","",IF($P158="","",IFERROR(INDEX('Opportunities'!$G$6:$G$205,MATCH($P158,'Opportunities'!$A$6:$A$205,0)),"")))</f>
        <v/>
      </c>
      <c r="V158" s="40">
        <f>IF($A158="","",IF($P158="","",IFERROR(INDEX('Opportunities'!$H$6:$H$205,MATCH($P158,'Opportunities'!$A$6:$A$205,0)),"")))</f>
        <v/>
      </c>
      <c r="W158" s="38">
        <f>IF($A158="","",IF($P158="","",IFERROR(INDEX('Opportunities'!$I$6:$I$205,MATCH($P158,'Opportunities'!$A$6:$A$205,0)),"")))</f>
        <v/>
      </c>
      <c r="X158" s="38">
        <f>IF($A158="","",IF($P158="","",IFERROR(INDEX('Opportunities'!$J$6:$J$205,MATCH($P158,'Opportunities'!$A$6:$A$205,0)),"")))</f>
        <v/>
      </c>
      <c r="Y158" s="70">
        <f>IF($A158="","",IF($P158="","",IFERROR(INDEX('Opportunities'!$K$6:$K$205,MATCH($P158,'Opportunities'!$A$6:$A$205,0)),"")))</f>
        <v/>
      </c>
      <c r="Z158" s="41">
        <f>IF($A158="","",IF($P158="","",IFERROR(INDEX('Opportunities'!$O$6:$O$205,MATCH($P158,'Opportunities'!$A$6:$A$205,0)),"")))</f>
        <v/>
      </c>
      <c r="AA158" s="41">
        <f>IF($A158="","",IF($P158="","",IFERROR(INDEX('Opportunities'!$P$6:$P$205,MATCH($P158,'Opportunities'!$A$6:$A$205,0)),"")))</f>
        <v/>
      </c>
      <c r="AB158" s="41">
        <f>IF($A158="","",IF($P158="","",IFERROR(INDEX('Opportunities'!$Q$6:$Q$205,MATCH($P158,'Opportunities'!$A$6:$A$205,0)),"")))</f>
        <v/>
      </c>
      <c r="AC158" s="71">
        <f>IF($A158="","",IF($P158="","",IFERROR(INDEX('Opportunities'!$Z$6:$Z$205,MATCH($P158,'Opportunities'!$A$6:$A$205,0)),"")))</f>
        <v/>
      </c>
      <c r="AD158" s="71">
        <f>IF($A158="","",IF($P158="","",IFERROR(INDEX('Opportunities'!$AJ$6:$AJ$205,MATCH($P158,'Opportunities'!$A$6:$A$205,0)),"")))</f>
        <v/>
      </c>
      <c r="AE158" s="72">
        <f>IF($A158="","",IF($P158="","",IFERROR(INDEX('Opportunities'!$AA$6:$AA$205,MATCH($P158,'Opportunities'!$A$6:$A$205,0)),"")))</f>
        <v/>
      </c>
      <c r="AF158" s="73">
        <f>IF($A158="","",IF($P158="","",IFERROR(INDEX('Opportunities'!$AF$6:$AF$205,MATCH($P158,'Opportunities'!$A$6:$A$205,0)),"")))</f>
        <v/>
      </c>
      <c r="AG158" s="41">
        <f>IF($A158="","",IF($P158="","",IFERROR(INDEX('Opportunities'!$AB$6:$AB$205,MATCH($P158,'Opportunities'!$A$6:$A$205,0)),"")))</f>
        <v/>
      </c>
      <c r="AH158" s="74">
        <f>IF($A158="","",IF($P158="","",IFERROR(($U158+$V158-$J158-$K158)*24,0)))</f>
        <v/>
      </c>
      <c r="AI158" s="38">
        <f>IF($A158="","",IF($P158="","No load selected",IF($AH158&lt;IFERROR($Z158/'Settings'!$B$11,0)+'Settings'!$B$12,"Too tight",IF($AH158&gt;'Settings'!$B$13,"Long wait","Feasible"))))</f>
        <v/>
      </c>
      <c r="AJ158" s="41">
        <f>IF($A158="","",IF($P158="","",$N158-$Z158-$AB158))</f>
        <v/>
      </c>
      <c r="AK158" s="38">
        <f>IF($A158="","",IF(COUNTIF($A$6:$A$205,$A158)&gt;1,"Duplicate Trip ID",IF($P158="","Open",IF(COUNTIF('Opportunities'!$A$6:$A$205,$P158)=0,"Load ID not found",IF(COUNTIFS('Opportunities'!$A$6:$A$205,$P158,'Opportunities'!$B$6:$B$205,$A158)=0,"Trip mismatch",IF(COUNTIF($P$6:$P$205,$P158)&gt;1,"Duplicate selection",IF(AND(OR($O158="Booked",$O158="Completed"),AND($Q158&lt;&gt;"Booked",$Q158&lt;&gt;"Completed")),"Status mismatch","OK")))))))</f>
        <v/>
      </c>
      <c r="AL158" s="46" t="n"/>
    </row>
    <row r="159">
      <c r="A159" s="34" t="n"/>
      <c r="B159" s="34" t="n"/>
      <c r="C159" s="34" t="n"/>
      <c r="D159" s="34" t="n"/>
      <c r="E159" s="34" t="n"/>
      <c r="F159" s="34" t="n"/>
      <c r="G159" s="34" t="n"/>
      <c r="H159" s="69" t="n"/>
      <c r="I159" s="36" t="n"/>
      <c r="J159" s="69" t="n"/>
      <c r="K159" s="36" t="n"/>
      <c r="L159" s="34" t="n"/>
      <c r="M159" s="34" t="n"/>
      <c r="N159" s="37" t="n"/>
      <c r="O159" s="34" t="n"/>
      <c r="P159" s="34" t="n"/>
      <c r="Q159" s="38">
        <f>IF($A159="","",IF($P159="","",IFERROR(INDEX('Opportunities'!$C$6:$C$205,MATCH($P159,'Opportunities'!$A$6:$A$205,0)),"")))</f>
        <v/>
      </c>
      <c r="R159" s="38">
        <f>IF($A159="","",IF($P159="","",IFERROR(INDEX('Opportunities'!$D$6:$D$205,MATCH($P159,'Opportunities'!$A$6:$A$205,0)),"")))</f>
        <v/>
      </c>
      <c r="S159" s="38">
        <f>IF($A159="","",IF($P159="","",IFERROR(INDEX('Opportunities'!$E$6:$E$205,MATCH($P159,'Opportunities'!$A$6:$A$205,0)),"")))</f>
        <v/>
      </c>
      <c r="T159" s="38">
        <f>IF($A159="","",IF($P159="","",IFERROR(INDEX('Opportunities'!$F$6:$F$205,MATCH($P159,'Opportunities'!$A$6:$A$205,0)),"")))</f>
        <v/>
      </c>
      <c r="U159" s="70">
        <f>IF($A159="","",IF($P159="","",IFERROR(INDEX('Opportunities'!$G$6:$G$205,MATCH($P159,'Opportunities'!$A$6:$A$205,0)),"")))</f>
        <v/>
      </c>
      <c r="V159" s="40">
        <f>IF($A159="","",IF($P159="","",IFERROR(INDEX('Opportunities'!$H$6:$H$205,MATCH($P159,'Opportunities'!$A$6:$A$205,0)),"")))</f>
        <v/>
      </c>
      <c r="W159" s="38">
        <f>IF($A159="","",IF($P159="","",IFERROR(INDEX('Opportunities'!$I$6:$I$205,MATCH($P159,'Opportunities'!$A$6:$A$205,0)),"")))</f>
        <v/>
      </c>
      <c r="X159" s="38">
        <f>IF($A159="","",IF($P159="","",IFERROR(INDEX('Opportunities'!$J$6:$J$205,MATCH($P159,'Opportunities'!$A$6:$A$205,0)),"")))</f>
        <v/>
      </c>
      <c r="Y159" s="70">
        <f>IF($A159="","",IF($P159="","",IFERROR(INDEX('Opportunities'!$K$6:$K$205,MATCH($P159,'Opportunities'!$A$6:$A$205,0)),"")))</f>
        <v/>
      </c>
      <c r="Z159" s="41">
        <f>IF($A159="","",IF($P159="","",IFERROR(INDEX('Opportunities'!$O$6:$O$205,MATCH($P159,'Opportunities'!$A$6:$A$205,0)),"")))</f>
        <v/>
      </c>
      <c r="AA159" s="41">
        <f>IF($A159="","",IF($P159="","",IFERROR(INDEX('Opportunities'!$P$6:$P$205,MATCH($P159,'Opportunities'!$A$6:$A$205,0)),"")))</f>
        <v/>
      </c>
      <c r="AB159" s="41">
        <f>IF($A159="","",IF($P159="","",IFERROR(INDEX('Opportunities'!$Q$6:$Q$205,MATCH($P159,'Opportunities'!$A$6:$A$205,0)),"")))</f>
        <v/>
      </c>
      <c r="AC159" s="71">
        <f>IF($A159="","",IF($P159="","",IFERROR(INDEX('Opportunities'!$Z$6:$Z$205,MATCH($P159,'Opportunities'!$A$6:$A$205,0)),"")))</f>
        <v/>
      </c>
      <c r="AD159" s="71">
        <f>IF($A159="","",IF($P159="","",IFERROR(INDEX('Opportunities'!$AJ$6:$AJ$205,MATCH($P159,'Opportunities'!$A$6:$A$205,0)),"")))</f>
        <v/>
      </c>
      <c r="AE159" s="72">
        <f>IF($A159="","",IF($P159="","",IFERROR(INDEX('Opportunities'!$AA$6:$AA$205,MATCH($P159,'Opportunities'!$A$6:$A$205,0)),"")))</f>
        <v/>
      </c>
      <c r="AF159" s="73">
        <f>IF($A159="","",IF($P159="","",IFERROR(INDEX('Opportunities'!$AF$6:$AF$205,MATCH($P159,'Opportunities'!$A$6:$A$205,0)),"")))</f>
        <v/>
      </c>
      <c r="AG159" s="41">
        <f>IF($A159="","",IF($P159="","",IFERROR(INDEX('Opportunities'!$AB$6:$AB$205,MATCH($P159,'Opportunities'!$A$6:$A$205,0)),"")))</f>
        <v/>
      </c>
      <c r="AH159" s="74">
        <f>IF($A159="","",IF($P159="","",IFERROR(($U159+$V159-$J159-$K159)*24,0)))</f>
        <v/>
      </c>
      <c r="AI159" s="38">
        <f>IF($A159="","",IF($P159="","No load selected",IF($AH159&lt;IFERROR($Z159/'Settings'!$B$11,0)+'Settings'!$B$12,"Too tight",IF($AH159&gt;'Settings'!$B$13,"Long wait","Feasible"))))</f>
        <v/>
      </c>
      <c r="AJ159" s="41">
        <f>IF($A159="","",IF($P159="","",$N159-$Z159-$AB159))</f>
        <v/>
      </c>
      <c r="AK159" s="38">
        <f>IF($A159="","",IF(COUNTIF($A$6:$A$205,$A159)&gt;1,"Duplicate Trip ID",IF($P159="","Open",IF(COUNTIF('Opportunities'!$A$6:$A$205,$P159)=0,"Load ID not found",IF(COUNTIFS('Opportunities'!$A$6:$A$205,$P159,'Opportunities'!$B$6:$B$205,$A159)=0,"Trip mismatch",IF(COUNTIF($P$6:$P$205,$P159)&gt;1,"Duplicate selection",IF(AND(OR($O159="Booked",$O159="Completed"),AND($Q159&lt;&gt;"Booked",$Q159&lt;&gt;"Completed")),"Status mismatch","OK")))))))</f>
        <v/>
      </c>
      <c r="AL159" s="46" t="n"/>
    </row>
    <row r="160">
      <c r="A160" s="34" t="n"/>
      <c r="B160" s="34" t="n"/>
      <c r="C160" s="34" t="n"/>
      <c r="D160" s="34" t="n"/>
      <c r="E160" s="34" t="n"/>
      <c r="F160" s="34" t="n"/>
      <c r="G160" s="34" t="n"/>
      <c r="H160" s="69" t="n"/>
      <c r="I160" s="36" t="n"/>
      <c r="J160" s="69" t="n"/>
      <c r="K160" s="36" t="n"/>
      <c r="L160" s="34" t="n"/>
      <c r="M160" s="34" t="n"/>
      <c r="N160" s="37" t="n"/>
      <c r="O160" s="34" t="n"/>
      <c r="P160" s="34" t="n"/>
      <c r="Q160" s="38">
        <f>IF($A160="","",IF($P160="","",IFERROR(INDEX('Opportunities'!$C$6:$C$205,MATCH($P160,'Opportunities'!$A$6:$A$205,0)),"")))</f>
        <v/>
      </c>
      <c r="R160" s="38">
        <f>IF($A160="","",IF($P160="","",IFERROR(INDEX('Opportunities'!$D$6:$D$205,MATCH($P160,'Opportunities'!$A$6:$A$205,0)),"")))</f>
        <v/>
      </c>
      <c r="S160" s="38">
        <f>IF($A160="","",IF($P160="","",IFERROR(INDEX('Opportunities'!$E$6:$E$205,MATCH($P160,'Opportunities'!$A$6:$A$205,0)),"")))</f>
        <v/>
      </c>
      <c r="T160" s="38">
        <f>IF($A160="","",IF($P160="","",IFERROR(INDEX('Opportunities'!$F$6:$F$205,MATCH($P160,'Opportunities'!$A$6:$A$205,0)),"")))</f>
        <v/>
      </c>
      <c r="U160" s="70">
        <f>IF($A160="","",IF($P160="","",IFERROR(INDEX('Opportunities'!$G$6:$G$205,MATCH($P160,'Opportunities'!$A$6:$A$205,0)),"")))</f>
        <v/>
      </c>
      <c r="V160" s="40">
        <f>IF($A160="","",IF($P160="","",IFERROR(INDEX('Opportunities'!$H$6:$H$205,MATCH($P160,'Opportunities'!$A$6:$A$205,0)),"")))</f>
        <v/>
      </c>
      <c r="W160" s="38">
        <f>IF($A160="","",IF($P160="","",IFERROR(INDEX('Opportunities'!$I$6:$I$205,MATCH($P160,'Opportunities'!$A$6:$A$205,0)),"")))</f>
        <v/>
      </c>
      <c r="X160" s="38">
        <f>IF($A160="","",IF($P160="","",IFERROR(INDEX('Opportunities'!$J$6:$J$205,MATCH($P160,'Opportunities'!$A$6:$A$205,0)),"")))</f>
        <v/>
      </c>
      <c r="Y160" s="70">
        <f>IF($A160="","",IF($P160="","",IFERROR(INDEX('Opportunities'!$K$6:$K$205,MATCH($P160,'Opportunities'!$A$6:$A$205,0)),"")))</f>
        <v/>
      </c>
      <c r="Z160" s="41">
        <f>IF($A160="","",IF($P160="","",IFERROR(INDEX('Opportunities'!$O$6:$O$205,MATCH($P160,'Opportunities'!$A$6:$A$205,0)),"")))</f>
        <v/>
      </c>
      <c r="AA160" s="41">
        <f>IF($A160="","",IF($P160="","",IFERROR(INDEX('Opportunities'!$P$6:$P$205,MATCH($P160,'Opportunities'!$A$6:$A$205,0)),"")))</f>
        <v/>
      </c>
      <c r="AB160" s="41">
        <f>IF($A160="","",IF($P160="","",IFERROR(INDEX('Opportunities'!$Q$6:$Q$205,MATCH($P160,'Opportunities'!$A$6:$A$205,0)),"")))</f>
        <v/>
      </c>
      <c r="AC160" s="71">
        <f>IF($A160="","",IF($P160="","",IFERROR(INDEX('Opportunities'!$Z$6:$Z$205,MATCH($P160,'Opportunities'!$A$6:$A$205,0)),"")))</f>
        <v/>
      </c>
      <c r="AD160" s="71">
        <f>IF($A160="","",IF($P160="","",IFERROR(INDEX('Opportunities'!$AJ$6:$AJ$205,MATCH($P160,'Opportunities'!$A$6:$A$205,0)),"")))</f>
        <v/>
      </c>
      <c r="AE160" s="72">
        <f>IF($A160="","",IF($P160="","",IFERROR(INDEX('Opportunities'!$AA$6:$AA$205,MATCH($P160,'Opportunities'!$A$6:$A$205,0)),"")))</f>
        <v/>
      </c>
      <c r="AF160" s="73">
        <f>IF($A160="","",IF($P160="","",IFERROR(INDEX('Opportunities'!$AF$6:$AF$205,MATCH($P160,'Opportunities'!$A$6:$A$205,0)),"")))</f>
        <v/>
      </c>
      <c r="AG160" s="41">
        <f>IF($A160="","",IF($P160="","",IFERROR(INDEX('Opportunities'!$AB$6:$AB$205,MATCH($P160,'Opportunities'!$A$6:$A$205,0)),"")))</f>
        <v/>
      </c>
      <c r="AH160" s="74">
        <f>IF($A160="","",IF($P160="","",IFERROR(($U160+$V160-$J160-$K160)*24,0)))</f>
        <v/>
      </c>
      <c r="AI160" s="38">
        <f>IF($A160="","",IF($P160="","No load selected",IF($AH160&lt;IFERROR($Z160/'Settings'!$B$11,0)+'Settings'!$B$12,"Too tight",IF($AH160&gt;'Settings'!$B$13,"Long wait","Feasible"))))</f>
        <v/>
      </c>
      <c r="AJ160" s="41">
        <f>IF($A160="","",IF($P160="","",$N160-$Z160-$AB160))</f>
        <v/>
      </c>
      <c r="AK160" s="38">
        <f>IF($A160="","",IF(COUNTIF($A$6:$A$205,$A160)&gt;1,"Duplicate Trip ID",IF($P160="","Open",IF(COUNTIF('Opportunities'!$A$6:$A$205,$P160)=0,"Load ID not found",IF(COUNTIFS('Opportunities'!$A$6:$A$205,$P160,'Opportunities'!$B$6:$B$205,$A160)=0,"Trip mismatch",IF(COUNTIF($P$6:$P$205,$P160)&gt;1,"Duplicate selection",IF(AND(OR($O160="Booked",$O160="Completed"),AND($Q160&lt;&gt;"Booked",$Q160&lt;&gt;"Completed")),"Status mismatch","OK")))))))</f>
        <v/>
      </c>
      <c r="AL160" s="46" t="n"/>
    </row>
    <row r="161">
      <c r="A161" s="34" t="n"/>
      <c r="B161" s="34" t="n"/>
      <c r="C161" s="34" t="n"/>
      <c r="D161" s="34" t="n"/>
      <c r="E161" s="34" t="n"/>
      <c r="F161" s="34" t="n"/>
      <c r="G161" s="34" t="n"/>
      <c r="H161" s="69" t="n"/>
      <c r="I161" s="36" t="n"/>
      <c r="J161" s="69" t="n"/>
      <c r="K161" s="36" t="n"/>
      <c r="L161" s="34" t="n"/>
      <c r="M161" s="34" t="n"/>
      <c r="N161" s="37" t="n"/>
      <c r="O161" s="34" t="n"/>
      <c r="P161" s="34" t="n"/>
      <c r="Q161" s="38">
        <f>IF($A161="","",IF($P161="","",IFERROR(INDEX('Opportunities'!$C$6:$C$205,MATCH($P161,'Opportunities'!$A$6:$A$205,0)),"")))</f>
        <v/>
      </c>
      <c r="R161" s="38">
        <f>IF($A161="","",IF($P161="","",IFERROR(INDEX('Opportunities'!$D$6:$D$205,MATCH($P161,'Opportunities'!$A$6:$A$205,0)),"")))</f>
        <v/>
      </c>
      <c r="S161" s="38">
        <f>IF($A161="","",IF($P161="","",IFERROR(INDEX('Opportunities'!$E$6:$E$205,MATCH($P161,'Opportunities'!$A$6:$A$205,0)),"")))</f>
        <v/>
      </c>
      <c r="T161" s="38">
        <f>IF($A161="","",IF($P161="","",IFERROR(INDEX('Opportunities'!$F$6:$F$205,MATCH($P161,'Opportunities'!$A$6:$A$205,0)),"")))</f>
        <v/>
      </c>
      <c r="U161" s="70">
        <f>IF($A161="","",IF($P161="","",IFERROR(INDEX('Opportunities'!$G$6:$G$205,MATCH($P161,'Opportunities'!$A$6:$A$205,0)),"")))</f>
        <v/>
      </c>
      <c r="V161" s="40">
        <f>IF($A161="","",IF($P161="","",IFERROR(INDEX('Opportunities'!$H$6:$H$205,MATCH($P161,'Opportunities'!$A$6:$A$205,0)),"")))</f>
        <v/>
      </c>
      <c r="W161" s="38">
        <f>IF($A161="","",IF($P161="","",IFERROR(INDEX('Opportunities'!$I$6:$I$205,MATCH($P161,'Opportunities'!$A$6:$A$205,0)),"")))</f>
        <v/>
      </c>
      <c r="X161" s="38">
        <f>IF($A161="","",IF($P161="","",IFERROR(INDEX('Opportunities'!$J$6:$J$205,MATCH($P161,'Opportunities'!$A$6:$A$205,0)),"")))</f>
        <v/>
      </c>
      <c r="Y161" s="70">
        <f>IF($A161="","",IF($P161="","",IFERROR(INDEX('Opportunities'!$K$6:$K$205,MATCH($P161,'Opportunities'!$A$6:$A$205,0)),"")))</f>
        <v/>
      </c>
      <c r="Z161" s="41">
        <f>IF($A161="","",IF($P161="","",IFERROR(INDEX('Opportunities'!$O$6:$O$205,MATCH($P161,'Opportunities'!$A$6:$A$205,0)),"")))</f>
        <v/>
      </c>
      <c r="AA161" s="41">
        <f>IF($A161="","",IF($P161="","",IFERROR(INDEX('Opportunities'!$P$6:$P$205,MATCH($P161,'Opportunities'!$A$6:$A$205,0)),"")))</f>
        <v/>
      </c>
      <c r="AB161" s="41">
        <f>IF($A161="","",IF($P161="","",IFERROR(INDEX('Opportunities'!$Q$6:$Q$205,MATCH($P161,'Opportunities'!$A$6:$A$205,0)),"")))</f>
        <v/>
      </c>
      <c r="AC161" s="71">
        <f>IF($A161="","",IF($P161="","",IFERROR(INDEX('Opportunities'!$Z$6:$Z$205,MATCH($P161,'Opportunities'!$A$6:$A$205,0)),"")))</f>
        <v/>
      </c>
      <c r="AD161" s="71">
        <f>IF($A161="","",IF($P161="","",IFERROR(INDEX('Opportunities'!$AJ$6:$AJ$205,MATCH($P161,'Opportunities'!$A$6:$A$205,0)),"")))</f>
        <v/>
      </c>
      <c r="AE161" s="72">
        <f>IF($A161="","",IF($P161="","",IFERROR(INDEX('Opportunities'!$AA$6:$AA$205,MATCH($P161,'Opportunities'!$A$6:$A$205,0)),"")))</f>
        <v/>
      </c>
      <c r="AF161" s="73">
        <f>IF($A161="","",IF($P161="","",IFERROR(INDEX('Opportunities'!$AF$6:$AF$205,MATCH($P161,'Opportunities'!$A$6:$A$205,0)),"")))</f>
        <v/>
      </c>
      <c r="AG161" s="41">
        <f>IF($A161="","",IF($P161="","",IFERROR(INDEX('Opportunities'!$AB$6:$AB$205,MATCH($P161,'Opportunities'!$A$6:$A$205,0)),"")))</f>
        <v/>
      </c>
      <c r="AH161" s="74">
        <f>IF($A161="","",IF($P161="","",IFERROR(($U161+$V161-$J161-$K161)*24,0)))</f>
        <v/>
      </c>
      <c r="AI161" s="38">
        <f>IF($A161="","",IF($P161="","No load selected",IF($AH161&lt;IFERROR($Z161/'Settings'!$B$11,0)+'Settings'!$B$12,"Too tight",IF($AH161&gt;'Settings'!$B$13,"Long wait","Feasible"))))</f>
        <v/>
      </c>
      <c r="AJ161" s="41">
        <f>IF($A161="","",IF($P161="","",$N161-$Z161-$AB161))</f>
        <v/>
      </c>
      <c r="AK161" s="38">
        <f>IF($A161="","",IF(COUNTIF($A$6:$A$205,$A161)&gt;1,"Duplicate Trip ID",IF($P161="","Open",IF(COUNTIF('Opportunities'!$A$6:$A$205,$P161)=0,"Load ID not found",IF(COUNTIFS('Opportunities'!$A$6:$A$205,$P161,'Opportunities'!$B$6:$B$205,$A161)=0,"Trip mismatch",IF(COUNTIF($P$6:$P$205,$P161)&gt;1,"Duplicate selection",IF(AND(OR($O161="Booked",$O161="Completed"),AND($Q161&lt;&gt;"Booked",$Q161&lt;&gt;"Completed")),"Status mismatch","OK")))))))</f>
        <v/>
      </c>
      <c r="AL161" s="46" t="n"/>
    </row>
    <row r="162">
      <c r="A162" s="34" t="n"/>
      <c r="B162" s="34" t="n"/>
      <c r="C162" s="34" t="n"/>
      <c r="D162" s="34" t="n"/>
      <c r="E162" s="34" t="n"/>
      <c r="F162" s="34" t="n"/>
      <c r="G162" s="34" t="n"/>
      <c r="H162" s="69" t="n"/>
      <c r="I162" s="36" t="n"/>
      <c r="J162" s="69" t="n"/>
      <c r="K162" s="36" t="n"/>
      <c r="L162" s="34" t="n"/>
      <c r="M162" s="34" t="n"/>
      <c r="N162" s="37" t="n"/>
      <c r="O162" s="34" t="n"/>
      <c r="P162" s="34" t="n"/>
      <c r="Q162" s="38">
        <f>IF($A162="","",IF($P162="","",IFERROR(INDEX('Opportunities'!$C$6:$C$205,MATCH($P162,'Opportunities'!$A$6:$A$205,0)),"")))</f>
        <v/>
      </c>
      <c r="R162" s="38">
        <f>IF($A162="","",IF($P162="","",IFERROR(INDEX('Opportunities'!$D$6:$D$205,MATCH($P162,'Opportunities'!$A$6:$A$205,0)),"")))</f>
        <v/>
      </c>
      <c r="S162" s="38">
        <f>IF($A162="","",IF($P162="","",IFERROR(INDEX('Opportunities'!$E$6:$E$205,MATCH($P162,'Opportunities'!$A$6:$A$205,0)),"")))</f>
        <v/>
      </c>
      <c r="T162" s="38">
        <f>IF($A162="","",IF($P162="","",IFERROR(INDEX('Opportunities'!$F$6:$F$205,MATCH($P162,'Opportunities'!$A$6:$A$205,0)),"")))</f>
        <v/>
      </c>
      <c r="U162" s="70">
        <f>IF($A162="","",IF($P162="","",IFERROR(INDEX('Opportunities'!$G$6:$G$205,MATCH($P162,'Opportunities'!$A$6:$A$205,0)),"")))</f>
        <v/>
      </c>
      <c r="V162" s="40">
        <f>IF($A162="","",IF($P162="","",IFERROR(INDEX('Opportunities'!$H$6:$H$205,MATCH($P162,'Opportunities'!$A$6:$A$205,0)),"")))</f>
        <v/>
      </c>
      <c r="W162" s="38">
        <f>IF($A162="","",IF($P162="","",IFERROR(INDEX('Opportunities'!$I$6:$I$205,MATCH($P162,'Opportunities'!$A$6:$A$205,0)),"")))</f>
        <v/>
      </c>
      <c r="X162" s="38">
        <f>IF($A162="","",IF($P162="","",IFERROR(INDEX('Opportunities'!$J$6:$J$205,MATCH($P162,'Opportunities'!$A$6:$A$205,0)),"")))</f>
        <v/>
      </c>
      <c r="Y162" s="70">
        <f>IF($A162="","",IF($P162="","",IFERROR(INDEX('Opportunities'!$K$6:$K$205,MATCH($P162,'Opportunities'!$A$6:$A$205,0)),"")))</f>
        <v/>
      </c>
      <c r="Z162" s="41">
        <f>IF($A162="","",IF($P162="","",IFERROR(INDEX('Opportunities'!$O$6:$O$205,MATCH($P162,'Opportunities'!$A$6:$A$205,0)),"")))</f>
        <v/>
      </c>
      <c r="AA162" s="41">
        <f>IF($A162="","",IF($P162="","",IFERROR(INDEX('Opportunities'!$P$6:$P$205,MATCH($P162,'Opportunities'!$A$6:$A$205,0)),"")))</f>
        <v/>
      </c>
      <c r="AB162" s="41">
        <f>IF($A162="","",IF($P162="","",IFERROR(INDEX('Opportunities'!$Q$6:$Q$205,MATCH($P162,'Opportunities'!$A$6:$A$205,0)),"")))</f>
        <v/>
      </c>
      <c r="AC162" s="71">
        <f>IF($A162="","",IF($P162="","",IFERROR(INDEX('Opportunities'!$Z$6:$Z$205,MATCH($P162,'Opportunities'!$A$6:$A$205,0)),"")))</f>
        <v/>
      </c>
      <c r="AD162" s="71">
        <f>IF($A162="","",IF($P162="","",IFERROR(INDEX('Opportunities'!$AJ$6:$AJ$205,MATCH($P162,'Opportunities'!$A$6:$A$205,0)),"")))</f>
        <v/>
      </c>
      <c r="AE162" s="72">
        <f>IF($A162="","",IF($P162="","",IFERROR(INDEX('Opportunities'!$AA$6:$AA$205,MATCH($P162,'Opportunities'!$A$6:$A$205,0)),"")))</f>
        <v/>
      </c>
      <c r="AF162" s="73">
        <f>IF($A162="","",IF($P162="","",IFERROR(INDEX('Opportunities'!$AF$6:$AF$205,MATCH($P162,'Opportunities'!$A$6:$A$205,0)),"")))</f>
        <v/>
      </c>
      <c r="AG162" s="41">
        <f>IF($A162="","",IF($P162="","",IFERROR(INDEX('Opportunities'!$AB$6:$AB$205,MATCH($P162,'Opportunities'!$A$6:$A$205,0)),"")))</f>
        <v/>
      </c>
      <c r="AH162" s="74">
        <f>IF($A162="","",IF($P162="","",IFERROR(($U162+$V162-$J162-$K162)*24,0)))</f>
        <v/>
      </c>
      <c r="AI162" s="38">
        <f>IF($A162="","",IF($P162="","No load selected",IF($AH162&lt;IFERROR($Z162/'Settings'!$B$11,0)+'Settings'!$B$12,"Too tight",IF($AH162&gt;'Settings'!$B$13,"Long wait","Feasible"))))</f>
        <v/>
      </c>
      <c r="AJ162" s="41">
        <f>IF($A162="","",IF($P162="","",$N162-$Z162-$AB162))</f>
        <v/>
      </c>
      <c r="AK162" s="38">
        <f>IF($A162="","",IF(COUNTIF($A$6:$A$205,$A162)&gt;1,"Duplicate Trip ID",IF($P162="","Open",IF(COUNTIF('Opportunities'!$A$6:$A$205,$P162)=0,"Load ID not found",IF(COUNTIFS('Opportunities'!$A$6:$A$205,$P162,'Opportunities'!$B$6:$B$205,$A162)=0,"Trip mismatch",IF(COUNTIF($P$6:$P$205,$P162)&gt;1,"Duplicate selection",IF(AND(OR($O162="Booked",$O162="Completed"),AND($Q162&lt;&gt;"Booked",$Q162&lt;&gt;"Completed")),"Status mismatch","OK")))))))</f>
        <v/>
      </c>
      <c r="AL162" s="46" t="n"/>
    </row>
    <row r="163">
      <c r="A163" s="34" t="n"/>
      <c r="B163" s="34" t="n"/>
      <c r="C163" s="34" t="n"/>
      <c r="D163" s="34" t="n"/>
      <c r="E163" s="34" t="n"/>
      <c r="F163" s="34" t="n"/>
      <c r="G163" s="34" t="n"/>
      <c r="H163" s="69" t="n"/>
      <c r="I163" s="36" t="n"/>
      <c r="J163" s="69" t="n"/>
      <c r="K163" s="36" t="n"/>
      <c r="L163" s="34" t="n"/>
      <c r="M163" s="34" t="n"/>
      <c r="N163" s="37" t="n"/>
      <c r="O163" s="34" t="n"/>
      <c r="P163" s="34" t="n"/>
      <c r="Q163" s="38">
        <f>IF($A163="","",IF($P163="","",IFERROR(INDEX('Opportunities'!$C$6:$C$205,MATCH($P163,'Opportunities'!$A$6:$A$205,0)),"")))</f>
        <v/>
      </c>
      <c r="R163" s="38">
        <f>IF($A163="","",IF($P163="","",IFERROR(INDEX('Opportunities'!$D$6:$D$205,MATCH($P163,'Opportunities'!$A$6:$A$205,0)),"")))</f>
        <v/>
      </c>
      <c r="S163" s="38">
        <f>IF($A163="","",IF($P163="","",IFERROR(INDEX('Opportunities'!$E$6:$E$205,MATCH($P163,'Opportunities'!$A$6:$A$205,0)),"")))</f>
        <v/>
      </c>
      <c r="T163" s="38">
        <f>IF($A163="","",IF($P163="","",IFERROR(INDEX('Opportunities'!$F$6:$F$205,MATCH($P163,'Opportunities'!$A$6:$A$205,0)),"")))</f>
        <v/>
      </c>
      <c r="U163" s="70">
        <f>IF($A163="","",IF($P163="","",IFERROR(INDEX('Opportunities'!$G$6:$G$205,MATCH($P163,'Opportunities'!$A$6:$A$205,0)),"")))</f>
        <v/>
      </c>
      <c r="V163" s="40">
        <f>IF($A163="","",IF($P163="","",IFERROR(INDEX('Opportunities'!$H$6:$H$205,MATCH($P163,'Opportunities'!$A$6:$A$205,0)),"")))</f>
        <v/>
      </c>
      <c r="W163" s="38">
        <f>IF($A163="","",IF($P163="","",IFERROR(INDEX('Opportunities'!$I$6:$I$205,MATCH($P163,'Opportunities'!$A$6:$A$205,0)),"")))</f>
        <v/>
      </c>
      <c r="X163" s="38">
        <f>IF($A163="","",IF($P163="","",IFERROR(INDEX('Opportunities'!$J$6:$J$205,MATCH($P163,'Opportunities'!$A$6:$A$205,0)),"")))</f>
        <v/>
      </c>
      <c r="Y163" s="70">
        <f>IF($A163="","",IF($P163="","",IFERROR(INDEX('Opportunities'!$K$6:$K$205,MATCH($P163,'Opportunities'!$A$6:$A$205,0)),"")))</f>
        <v/>
      </c>
      <c r="Z163" s="41">
        <f>IF($A163="","",IF($P163="","",IFERROR(INDEX('Opportunities'!$O$6:$O$205,MATCH($P163,'Opportunities'!$A$6:$A$205,0)),"")))</f>
        <v/>
      </c>
      <c r="AA163" s="41">
        <f>IF($A163="","",IF($P163="","",IFERROR(INDEX('Opportunities'!$P$6:$P$205,MATCH($P163,'Opportunities'!$A$6:$A$205,0)),"")))</f>
        <v/>
      </c>
      <c r="AB163" s="41">
        <f>IF($A163="","",IF($P163="","",IFERROR(INDEX('Opportunities'!$Q$6:$Q$205,MATCH($P163,'Opportunities'!$A$6:$A$205,0)),"")))</f>
        <v/>
      </c>
      <c r="AC163" s="71">
        <f>IF($A163="","",IF($P163="","",IFERROR(INDEX('Opportunities'!$Z$6:$Z$205,MATCH($P163,'Opportunities'!$A$6:$A$205,0)),"")))</f>
        <v/>
      </c>
      <c r="AD163" s="71">
        <f>IF($A163="","",IF($P163="","",IFERROR(INDEX('Opportunities'!$AJ$6:$AJ$205,MATCH($P163,'Opportunities'!$A$6:$A$205,0)),"")))</f>
        <v/>
      </c>
      <c r="AE163" s="72">
        <f>IF($A163="","",IF($P163="","",IFERROR(INDEX('Opportunities'!$AA$6:$AA$205,MATCH($P163,'Opportunities'!$A$6:$A$205,0)),"")))</f>
        <v/>
      </c>
      <c r="AF163" s="73">
        <f>IF($A163="","",IF($P163="","",IFERROR(INDEX('Opportunities'!$AF$6:$AF$205,MATCH($P163,'Opportunities'!$A$6:$A$205,0)),"")))</f>
        <v/>
      </c>
      <c r="AG163" s="41">
        <f>IF($A163="","",IF($P163="","",IFERROR(INDEX('Opportunities'!$AB$6:$AB$205,MATCH($P163,'Opportunities'!$A$6:$A$205,0)),"")))</f>
        <v/>
      </c>
      <c r="AH163" s="74">
        <f>IF($A163="","",IF($P163="","",IFERROR(($U163+$V163-$J163-$K163)*24,0)))</f>
        <v/>
      </c>
      <c r="AI163" s="38">
        <f>IF($A163="","",IF($P163="","No load selected",IF($AH163&lt;IFERROR($Z163/'Settings'!$B$11,0)+'Settings'!$B$12,"Too tight",IF($AH163&gt;'Settings'!$B$13,"Long wait","Feasible"))))</f>
        <v/>
      </c>
      <c r="AJ163" s="41">
        <f>IF($A163="","",IF($P163="","",$N163-$Z163-$AB163))</f>
        <v/>
      </c>
      <c r="AK163" s="38">
        <f>IF($A163="","",IF(COUNTIF($A$6:$A$205,$A163)&gt;1,"Duplicate Trip ID",IF($P163="","Open",IF(COUNTIF('Opportunities'!$A$6:$A$205,$P163)=0,"Load ID not found",IF(COUNTIFS('Opportunities'!$A$6:$A$205,$P163,'Opportunities'!$B$6:$B$205,$A163)=0,"Trip mismatch",IF(COUNTIF($P$6:$P$205,$P163)&gt;1,"Duplicate selection",IF(AND(OR($O163="Booked",$O163="Completed"),AND($Q163&lt;&gt;"Booked",$Q163&lt;&gt;"Completed")),"Status mismatch","OK")))))))</f>
        <v/>
      </c>
      <c r="AL163" s="46" t="n"/>
    </row>
    <row r="164">
      <c r="A164" s="34" t="n"/>
      <c r="B164" s="34" t="n"/>
      <c r="C164" s="34" t="n"/>
      <c r="D164" s="34" t="n"/>
      <c r="E164" s="34" t="n"/>
      <c r="F164" s="34" t="n"/>
      <c r="G164" s="34" t="n"/>
      <c r="H164" s="69" t="n"/>
      <c r="I164" s="36" t="n"/>
      <c r="J164" s="69" t="n"/>
      <c r="K164" s="36" t="n"/>
      <c r="L164" s="34" t="n"/>
      <c r="M164" s="34" t="n"/>
      <c r="N164" s="37" t="n"/>
      <c r="O164" s="34" t="n"/>
      <c r="P164" s="34" t="n"/>
      <c r="Q164" s="38">
        <f>IF($A164="","",IF($P164="","",IFERROR(INDEX('Opportunities'!$C$6:$C$205,MATCH($P164,'Opportunities'!$A$6:$A$205,0)),"")))</f>
        <v/>
      </c>
      <c r="R164" s="38">
        <f>IF($A164="","",IF($P164="","",IFERROR(INDEX('Opportunities'!$D$6:$D$205,MATCH($P164,'Opportunities'!$A$6:$A$205,0)),"")))</f>
        <v/>
      </c>
      <c r="S164" s="38">
        <f>IF($A164="","",IF($P164="","",IFERROR(INDEX('Opportunities'!$E$6:$E$205,MATCH($P164,'Opportunities'!$A$6:$A$205,0)),"")))</f>
        <v/>
      </c>
      <c r="T164" s="38">
        <f>IF($A164="","",IF($P164="","",IFERROR(INDEX('Opportunities'!$F$6:$F$205,MATCH($P164,'Opportunities'!$A$6:$A$205,0)),"")))</f>
        <v/>
      </c>
      <c r="U164" s="70">
        <f>IF($A164="","",IF($P164="","",IFERROR(INDEX('Opportunities'!$G$6:$G$205,MATCH($P164,'Opportunities'!$A$6:$A$205,0)),"")))</f>
        <v/>
      </c>
      <c r="V164" s="40">
        <f>IF($A164="","",IF($P164="","",IFERROR(INDEX('Opportunities'!$H$6:$H$205,MATCH($P164,'Opportunities'!$A$6:$A$205,0)),"")))</f>
        <v/>
      </c>
      <c r="W164" s="38">
        <f>IF($A164="","",IF($P164="","",IFERROR(INDEX('Opportunities'!$I$6:$I$205,MATCH($P164,'Opportunities'!$A$6:$A$205,0)),"")))</f>
        <v/>
      </c>
      <c r="X164" s="38">
        <f>IF($A164="","",IF($P164="","",IFERROR(INDEX('Opportunities'!$J$6:$J$205,MATCH($P164,'Opportunities'!$A$6:$A$205,0)),"")))</f>
        <v/>
      </c>
      <c r="Y164" s="70">
        <f>IF($A164="","",IF($P164="","",IFERROR(INDEX('Opportunities'!$K$6:$K$205,MATCH($P164,'Opportunities'!$A$6:$A$205,0)),"")))</f>
        <v/>
      </c>
      <c r="Z164" s="41">
        <f>IF($A164="","",IF($P164="","",IFERROR(INDEX('Opportunities'!$O$6:$O$205,MATCH($P164,'Opportunities'!$A$6:$A$205,0)),"")))</f>
        <v/>
      </c>
      <c r="AA164" s="41">
        <f>IF($A164="","",IF($P164="","",IFERROR(INDEX('Opportunities'!$P$6:$P$205,MATCH($P164,'Opportunities'!$A$6:$A$205,0)),"")))</f>
        <v/>
      </c>
      <c r="AB164" s="41">
        <f>IF($A164="","",IF($P164="","",IFERROR(INDEX('Opportunities'!$Q$6:$Q$205,MATCH($P164,'Opportunities'!$A$6:$A$205,0)),"")))</f>
        <v/>
      </c>
      <c r="AC164" s="71">
        <f>IF($A164="","",IF($P164="","",IFERROR(INDEX('Opportunities'!$Z$6:$Z$205,MATCH($P164,'Opportunities'!$A$6:$A$205,0)),"")))</f>
        <v/>
      </c>
      <c r="AD164" s="71">
        <f>IF($A164="","",IF($P164="","",IFERROR(INDEX('Opportunities'!$AJ$6:$AJ$205,MATCH($P164,'Opportunities'!$A$6:$A$205,0)),"")))</f>
        <v/>
      </c>
      <c r="AE164" s="72">
        <f>IF($A164="","",IF($P164="","",IFERROR(INDEX('Opportunities'!$AA$6:$AA$205,MATCH($P164,'Opportunities'!$A$6:$A$205,0)),"")))</f>
        <v/>
      </c>
      <c r="AF164" s="73">
        <f>IF($A164="","",IF($P164="","",IFERROR(INDEX('Opportunities'!$AF$6:$AF$205,MATCH($P164,'Opportunities'!$A$6:$A$205,0)),"")))</f>
        <v/>
      </c>
      <c r="AG164" s="41">
        <f>IF($A164="","",IF($P164="","",IFERROR(INDEX('Opportunities'!$AB$6:$AB$205,MATCH($P164,'Opportunities'!$A$6:$A$205,0)),"")))</f>
        <v/>
      </c>
      <c r="AH164" s="74">
        <f>IF($A164="","",IF($P164="","",IFERROR(($U164+$V164-$J164-$K164)*24,0)))</f>
        <v/>
      </c>
      <c r="AI164" s="38">
        <f>IF($A164="","",IF($P164="","No load selected",IF($AH164&lt;IFERROR($Z164/'Settings'!$B$11,0)+'Settings'!$B$12,"Too tight",IF($AH164&gt;'Settings'!$B$13,"Long wait","Feasible"))))</f>
        <v/>
      </c>
      <c r="AJ164" s="41">
        <f>IF($A164="","",IF($P164="","",$N164-$Z164-$AB164))</f>
        <v/>
      </c>
      <c r="AK164" s="38">
        <f>IF($A164="","",IF(COUNTIF($A$6:$A$205,$A164)&gt;1,"Duplicate Trip ID",IF($P164="","Open",IF(COUNTIF('Opportunities'!$A$6:$A$205,$P164)=0,"Load ID not found",IF(COUNTIFS('Opportunities'!$A$6:$A$205,$P164,'Opportunities'!$B$6:$B$205,$A164)=0,"Trip mismatch",IF(COUNTIF($P$6:$P$205,$P164)&gt;1,"Duplicate selection",IF(AND(OR($O164="Booked",$O164="Completed"),AND($Q164&lt;&gt;"Booked",$Q164&lt;&gt;"Completed")),"Status mismatch","OK")))))))</f>
        <v/>
      </c>
      <c r="AL164" s="46" t="n"/>
    </row>
    <row r="165">
      <c r="A165" s="34" t="n"/>
      <c r="B165" s="34" t="n"/>
      <c r="C165" s="34" t="n"/>
      <c r="D165" s="34" t="n"/>
      <c r="E165" s="34" t="n"/>
      <c r="F165" s="34" t="n"/>
      <c r="G165" s="34" t="n"/>
      <c r="H165" s="69" t="n"/>
      <c r="I165" s="36" t="n"/>
      <c r="J165" s="69" t="n"/>
      <c r="K165" s="36" t="n"/>
      <c r="L165" s="34" t="n"/>
      <c r="M165" s="34" t="n"/>
      <c r="N165" s="37" t="n"/>
      <c r="O165" s="34" t="n"/>
      <c r="P165" s="34" t="n"/>
      <c r="Q165" s="38">
        <f>IF($A165="","",IF($P165="","",IFERROR(INDEX('Opportunities'!$C$6:$C$205,MATCH($P165,'Opportunities'!$A$6:$A$205,0)),"")))</f>
        <v/>
      </c>
      <c r="R165" s="38">
        <f>IF($A165="","",IF($P165="","",IFERROR(INDEX('Opportunities'!$D$6:$D$205,MATCH($P165,'Opportunities'!$A$6:$A$205,0)),"")))</f>
        <v/>
      </c>
      <c r="S165" s="38">
        <f>IF($A165="","",IF($P165="","",IFERROR(INDEX('Opportunities'!$E$6:$E$205,MATCH($P165,'Opportunities'!$A$6:$A$205,0)),"")))</f>
        <v/>
      </c>
      <c r="T165" s="38">
        <f>IF($A165="","",IF($P165="","",IFERROR(INDEX('Opportunities'!$F$6:$F$205,MATCH($P165,'Opportunities'!$A$6:$A$205,0)),"")))</f>
        <v/>
      </c>
      <c r="U165" s="70">
        <f>IF($A165="","",IF($P165="","",IFERROR(INDEX('Opportunities'!$G$6:$G$205,MATCH($P165,'Opportunities'!$A$6:$A$205,0)),"")))</f>
        <v/>
      </c>
      <c r="V165" s="40">
        <f>IF($A165="","",IF($P165="","",IFERROR(INDEX('Opportunities'!$H$6:$H$205,MATCH($P165,'Opportunities'!$A$6:$A$205,0)),"")))</f>
        <v/>
      </c>
      <c r="W165" s="38">
        <f>IF($A165="","",IF($P165="","",IFERROR(INDEX('Opportunities'!$I$6:$I$205,MATCH($P165,'Opportunities'!$A$6:$A$205,0)),"")))</f>
        <v/>
      </c>
      <c r="X165" s="38">
        <f>IF($A165="","",IF($P165="","",IFERROR(INDEX('Opportunities'!$J$6:$J$205,MATCH($P165,'Opportunities'!$A$6:$A$205,0)),"")))</f>
        <v/>
      </c>
      <c r="Y165" s="70">
        <f>IF($A165="","",IF($P165="","",IFERROR(INDEX('Opportunities'!$K$6:$K$205,MATCH($P165,'Opportunities'!$A$6:$A$205,0)),"")))</f>
        <v/>
      </c>
      <c r="Z165" s="41">
        <f>IF($A165="","",IF($P165="","",IFERROR(INDEX('Opportunities'!$O$6:$O$205,MATCH($P165,'Opportunities'!$A$6:$A$205,0)),"")))</f>
        <v/>
      </c>
      <c r="AA165" s="41">
        <f>IF($A165="","",IF($P165="","",IFERROR(INDEX('Opportunities'!$P$6:$P$205,MATCH($P165,'Opportunities'!$A$6:$A$205,0)),"")))</f>
        <v/>
      </c>
      <c r="AB165" s="41">
        <f>IF($A165="","",IF($P165="","",IFERROR(INDEX('Opportunities'!$Q$6:$Q$205,MATCH($P165,'Opportunities'!$A$6:$A$205,0)),"")))</f>
        <v/>
      </c>
      <c r="AC165" s="71">
        <f>IF($A165="","",IF($P165="","",IFERROR(INDEX('Opportunities'!$Z$6:$Z$205,MATCH($P165,'Opportunities'!$A$6:$A$205,0)),"")))</f>
        <v/>
      </c>
      <c r="AD165" s="71">
        <f>IF($A165="","",IF($P165="","",IFERROR(INDEX('Opportunities'!$AJ$6:$AJ$205,MATCH($P165,'Opportunities'!$A$6:$A$205,0)),"")))</f>
        <v/>
      </c>
      <c r="AE165" s="72">
        <f>IF($A165="","",IF($P165="","",IFERROR(INDEX('Opportunities'!$AA$6:$AA$205,MATCH($P165,'Opportunities'!$A$6:$A$205,0)),"")))</f>
        <v/>
      </c>
      <c r="AF165" s="73">
        <f>IF($A165="","",IF($P165="","",IFERROR(INDEX('Opportunities'!$AF$6:$AF$205,MATCH($P165,'Opportunities'!$A$6:$A$205,0)),"")))</f>
        <v/>
      </c>
      <c r="AG165" s="41">
        <f>IF($A165="","",IF($P165="","",IFERROR(INDEX('Opportunities'!$AB$6:$AB$205,MATCH($P165,'Opportunities'!$A$6:$A$205,0)),"")))</f>
        <v/>
      </c>
      <c r="AH165" s="74">
        <f>IF($A165="","",IF($P165="","",IFERROR(($U165+$V165-$J165-$K165)*24,0)))</f>
        <v/>
      </c>
      <c r="AI165" s="38">
        <f>IF($A165="","",IF($P165="","No load selected",IF($AH165&lt;IFERROR($Z165/'Settings'!$B$11,0)+'Settings'!$B$12,"Too tight",IF($AH165&gt;'Settings'!$B$13,"Long wait","Feasible"))))</f>
        <v/>
      </c>
      <c r="AJ165" s="41">
        <f>IF($A165="","",IF($P165="","",$N165-$Z165-$AB165))</f>
        <v/>
      </c>
      <c r="AK165" s="38">
        <f>IF($A165="","",IF(COUNTIF($A$6:$A$205,$A165)&gt;1,"Duplicate Trip ID",IF($P165="","Open",IF(COUNTIF('Opportunities'!$A$6:$A$205,$P165)=0,"Load ID not found",IF(COUNTIFS('Opportunities'!$A$6:$A$205,$P165,'Opportunities'!$B$6:$B$205,$A165)=0,"Trip mismatch",IF(COUNTIF($P$6:$P$205,$P165)&gt;1,"Duplicate selection",IF(AND(OR($O165="Booked",$O165="Completed"),AND($Q165&lt;&gt;"Booked",$Q165&lt;&gt;"Completed")),"Status mismatch","OK")))))))</f>
        <v/>
      </c>
      <c r="AL165" s="46" t="n"/>
    </row>
    <row r="166">
      <c r="A166" s="34" t="n"/>
      <c r="B166" s="34" t="n"/>
      <c r="C166" s="34" t="n"/>
      <c r="D166" s="34" t="n"/>
      <c r="E166" s="34" t="n"/>
      <c r="F166" s="34" t="n"/>
      <c r="G166" s="34" t="n"/>
      <c r="H166" s="69" t="n"/>
      <c r="I166" s="36" t="n"/>
      <c r="J166" s="69" t="n"/>
      <c r="K166" s="36" t="n"/>
      <c r="L166" s="34" t="n"/>
      <c r="M166" s="34" t="n"/>
      <c r="N166" s="37" t="n"/>
      <c r="O166" s="34" t="n"/>
      <c r="P166" s="34" t="n"/>
      <c r="Q166" s="38">
        <f>IF($A166="","",IF($P166="","",IFERROR(INDEX('Opportunities'!$C$6:$C$205,MATCH($P166,'Opportunities'!$A$6:$A$205,0)),"")))</f>
        <v/>
      </c>
      <c r="R166" s="38">
        <f>IF($A166="","",IF($P166="","",IFERROR(INDEX('Opportunities'!$D$6:$D$205,MATCH($P166,'Opportunities'!$A$6:$A$205,0)),"")))</f>
        <v/>
      </c>
      <c r="S166" s="38">
        <f>IF($A166="","",IF($P166="","",IFERROR(INDEX('Opportunities'!$E$6:$E$205,MATCH($P166,'Opportunities'!$A$6:$A$205,0)),"")))</f>
        <v/>
      </c>
      <c r="T166" s="38">
        <f>IF($A166="","",IF($P166="","",IFERROR(INDEX('Opportunities'!$F$6:$F$205,MATCH($P166,'Opportunities'!$A$6:$A$205,0)),"")))</f>
        <v/>
      </c>
      <c r="U166" s="70">
        <f>IF($A166="","",IF($P166="","",IFERROR(INDEX('Opportunities'!$G$6:$G$205,MATCH($P166,'Opportunities'!$A$6:$A$205,0)),"")))</f>
        <v/>
      </c>
      <c r="V166" s="40">
        <f>IF($A166="","",IF($P166="","",IFERROR(INDEX('Opportunities'!$H$6:$H$205,MATCH($P166,'Opportunities'!$A$6:$A$205,0)),"")))</f>
        <v/>
      </c>
      <c r="W166" s="38">
        <f>IF($A166="","",IF($P166="","",IFERROR(INDEX('Opportunities'!$I$6:$I$205,MATCH($P166,'Opportunities'!$A$6:$A$205,0)),"")))</f>
        <v/>
      </c>
      <c r="X166" s="38">
        <f>IF($A166="","",IF($P166="","",IFERROR(INDEX('Opportunities'!$J$6:$J$205,MATCH($P166,'Opportunities'!$A$6:$A$205,0)),"")))</f>
        <v/>
      </c>
      <c r="Y166" s="70">
        <f>IF($A166="","",IF($P166="","",IFERROR(INDEX('Opportunities'!$K$6:$K$205,MATCH($P166,'Opportunities'!$A$6:$A$205,0)),"")))</f>
        <v/>
      </c>
      <c r="Z166" s="41">
        <f>IF($A166="","",IF($P166="","",IFERROR(INDEX('Opportunities'!$O$6:$O$205,MATCH($P166,'Opportunities'!$A$6:$A$205,0)),"")))</f>
        <v/>
      </c>
      <c r="AA166" s="41">
        <f>IF($A166="","",IF($P166="","",IFERROR(INDEX('Opportunities'!$P$6:$P$205,MATCH($P166,'Opportunities'!$A$6:$A$205,0)),"")))</f>
        <v/>
      </c>
      <c r="AB166" s="41">
        <f>IF($A166="","",IF($P166="","",IFERROR(INDEX('Opportunities'!$Q$6:$Q$205,MATCH($P166,'Opportunities'!$A$6:$A$205,0)),"")))</f>
        <v/>
      </c>
      <c r="AC166" s="71">
        <f>IF($A166="","",IF($P166="","",IFERROR(INDEX('Opportunities'!$Z$6:$Z$205,MATCH($P166,'Opportunities'!$A$6:$A$205,0)),"")))</f>
        <v/>
      </c>
      <c r="AD166" s="71">
        <f>IF($A166="","",IF($P166="","",IFERROR(INDEX('Opportunities'!$AJ$6:$AJ$205,MATCH($P166,'Opportunities'!$A$6:$A$205,0)),"")))</f>
        <v/>
      </c>
      <c r="AE166" s="72">
        <f>IF($A166="","",IF($P166="","",IFERROR(INDEX('Opportunities'!$AA$6:$AA$205,MATCH($P166,'Opportunities'!$A$6:$A$205,0)),"")))</f>
        <v/>
      </c>
      <c r="AF166" s="73">
        <f>IF($A166="","",IF($P166="","",IFERROR(INDEX('Opportunities'!$AF$6:$AF$205,MATCH($P166,'Opportunities'!$A$6:$A$205,0)),"")))</f>
        <v/>
      </c>
      <c r="AG166" s="41">
        <f>IF($A166="","",IF($P166="","",IFERROR(INDEX('Opportunities'!$AB$6:$AB$205,MATCH($P166,'Opportunities'!$A$6:$A$205,0)),"")))</f>
        <v/>
      </c>
      <c r="AH166" s="74">
        <f>IF($A166="","",IF($P166="","",IFERROR(($U166+$V166-$J166-$K166)*24,0)))</f>
        <v/>
      </c>
      <c r="AI166" s="38">
        <f>IF($A166="","",IF($P166="","No load selected",IF($AH166&lt;IFERROR($Z166/'Settings'!$B$11,0)+'Settings'!$B$12,"Too tight",IF($AH166&gt;'Settings'!$B$13,"Long wait","Feasible"))))</f>
        <v/>
      </c>
      <c r="AJ166" s="41">
        <f>IF($A166="","",IF($P166="","",$N166-$Z166-$AB166))</f>
        <v/>
      </c>
      <c r="AK166" s="38">
        <f>IF($A166="","",IF(COUNTIF($A$6:$A$205,$A166)&gt;1,"Duplicate Trip ID",IF($P166="","Open",IF(COUNTIF('Opportunities'!$A$6:$A$205,$P166)=0,"Load ID not found",IF(COUNTIFS('Opportunities'!$A$6:$A$205,$P166,'Opportunities'!$B$6:$B$205,$A166)=0,"Trip mismatch",IF(COUNTIF($P$6:$P$205,$P166)&gt;1,"Duplicate selection",IF(AND(OR($O166="Booked",$O166="Completed"),AND($Q166&lt;&gt;"Booked",$Q166&lt;&gt;"Completed")),"Status mismatch","OK")))))))</f>
        <v/>
      </c>
      <c r="AL166" s="46" t="n"/>
    </row>
    <row r="167">
      <c r="A167" s="34" t="n"/>
      <c r="B167" s="34" t="n"/>
      <c r="C167" s="34" t="n"/>
      <c r="D167" s="34" t="n"/>
      <c r="E167" s="34" t="n"/>
      <c r="F167" s="34" t="n"/>
      <c r="G167" s="34" t="n"/>
      <c r="H167" s="69" t="n"/>
      <c r="I167" s="36" t="n"/>
      <c r="J167" s="69" t="n"/>
      <c r="K167" s="36" t="n"/>
      <c r="L167" s="34" t="n"/>
      <c r="M167" s="34" t="n"/>
      <c r="N167" s="37" t="n"/>
      <c r="O167" s="34" t="n"/>
      <c r="P167" s="34" t="n"/>
      <c r="Q167" s="38">
        <f>IF($A167="","",IF($P167="","",IFERROR(INDEX('Opportunities'!$C$6:$C$205,MATCH($P167,'Opportunities'!$A$6:$A$205,0)),"")))</f>
        <v/>
      </c>
      <c r="R167" s="38">
        <f>IF($A167="","",IF($P167="","",IFERROR(INDEX('Opportunities'!$D$6:$D$205,MATCH($P167,'Opportunities'!$A$6:$A$205,0)),"")))</f>
        <v/>
      </c>
      <c r="S167" s="38">
        <f>IF($A167="","",IF($P167="","",IFERROR(INDEX('Opportunities'!$E$6:$E$205,MATCH($P167,'Opportunities'!$A$6:$A$205,0)),"")))</f>
        <v/>
      </c>
      <c r="T167" s="38">
        <f>IF($A167="","",IF($P167="","",IFERROR(INDEX('Opportunities'!$F$6:$F$205,MATCH($P167,'Opportunities'!$A$6:$A$205,0)),"")))</f>
        <v/>
      </c>
      <c r="U167" s="70">
        <f>IF($A167="","",IF($P167="","",IFERROR(INDEX('Opportunities'!$G$6:$G$205,MATCH($P167,'Opportunities'!$A$6:$A$205,0)),"")))</f>
        <v/>
      </c>
      <c r="V167" s="40">
        <f>IF($A167="","",IF($P167="","",IFERROR(INDEX('Opportunities'!$H$6:$H$205,MATCH($P167,'Opportunities'!$A$6:$A$205,0)),"")))</f>
        <v/>
      </c>
      <c r="W167" s="38">
        <f>IF($A167="","",IF($P167="","",IFERROR(INDEX('Opportunities'!$I$6:$I$205,MATCH($P167,'Opportunities'!$A$6:$A$205,0)),"")))</f>
        <v/>
      </c>
      <c r="X167" s="38">
        <f>IF($A167="","",IF($P167="","",IFERROR(INDEX('Opportunities'!$J$6:$J$205,MATCH($P167,'Opportunities'!$A$6:$A$205,0)),"")))</f>
        <v/>
      </c>
      <c r="Y167" s="70">
        <f>IF($A167="","",IF($P167="","",IFERROR(INDEX('Opportunities'!$K$6:$K$205,MATCH($P167,'Opportunities'!$A$6:$A$205,0)),"")))</f>
        <v/>
      </c>
      <c r="Z167" s="41">
        <f>IF($A167="","",IF($P167="","",IFERROR(INDEX('Opportunities'!$O$6:$O$205,MATCH($P167,'Opportunities'!$A$6:$A$205,0)),"")))</f>
        <v/>
      </c>
      <c r="AA167" s="41">
        <f>IF($A167="","",IF($P167="","",IFERROR(INDEX('Opportunities'!$P$6:$P$205,MATCH($P167,'Opportunities'!$A$6:$A$205,0)),"")))</f>
        <v/>
      </c>
      <c r="AB167" s="41">
        <f>IF($A167="","",IF($P167="","",IFERROR(INDEX('Opportunities'!$Q$6:$Q$205,MATCH($P167,'Opportunities'!$A$6:$A$205,0)),"")))</f>
        <v/>
      </c>
      <c r="AC167" s="71">
        <f>IF($A167="","",IF($P167="","",IFERROR(INDEX('Opportunities'!$Z$6:$Z$205,MATCH($P167,'Opportunities'!$A$6:$A$205,0)),"")))</f>
        <v/>
      </c>
      <c r="AD167" s="71">
        <f>IF($A167="","",IF($P167="","",IFERROR(INDEX('Opportunities'!$AJ$6:$AJ$205,MATCH($P167,'Opportunities'!$A$6:$A$205,0)),"")))</f>
        <v/>
      </c>
      <c r="AE167" s="72">
        <f>IF($A167="","",IF($P167="","",IFERROR(INDEX('Opportunities'!$AA$6:$AA$205,MATCH($P167,'Opportunities'!$A$6:$A$205,0)),"")))</f>
        <v/>
      </c>
      <c r="AF167" s="73">
        <f>IF($A167="","",IF($P167="","",IFERROR(INDEX('Opportunities'!$AF$6:$AF$205,MATCH($P167,'Opportunities'!$A$6:$A$205,0)),"")))</f>
        <v/>
      </c>
      <c r="AG167" s="41">
        <f>IF($A167="","",IF($P167="","",IFERROR(INDEX('Opportunities'!$AB$6:$AB$205,MATCH($P167,'Opportunities'!$A$6:$A$205,0)),"")))</f>
        <v/>
      </c>
      <c r="AH167" s="74">
        <f>IF($A167="","",IF($P167="","",IFERROR(($U167+$V167-$J167-$K167)*24,0)))</f>
        <v/>
      </c>
      <c r="AI167" s="38">
        <f>IF($A167="","",IF($P167="","No load selected",IF($AH167&lt;IFERROR($Z167/'Settings'!$B$11,0)+'Settings'!$B$12,"Too tight",IF($AH167&gt;'Settings'!$B$13,"Long wait","Feasible"))))</f>
        <v/>
      </c>
      <c r="AJ167" s="41">
        <f>IF($A167="","",IF($P167="","",$N167-$Z167-$AB167))</f>
        <v/>
      </c>
      <c r="AK167" s="38">
        <f>IF($A167="","",IF(COUNTIF($A$6:$A$205,$A167)&gt;1,"Duplicate Trip ID",IF($P167="","Open",IF(COUNTIF('Opportunities'!$A$6:$A$205,$P167)=0,"Load ID not found",IF(COUNTIFS('Opportunities'!$A$6:$A$205,$P167,'Opportunities'!$B$6:$B$205,$A167)=0,"Trip mismatch",IF(COUNTIF($P$6:$P$205,$P167)&gt;1,"Duplicate selection",IF(AND(OR($O167="Booked",$O167="Completed"),AND($Q167&lt;&gt;"Booked",$Q167&lt;&gt;"Completed")),"Status mismatch","OK")))))))</f>
        <v/>
      </c>
      <c r="AL167" s="46" t="n"/>
    </row>
    <row r="168">
      <c r="A168" s="34" t="n"/>
      <c r="B168" s="34" t="n"/>
      <c r="C168" s="34" t="n"/>
      <c r="D168" s="34" t="n"/>
      <c r="E168" s="34" t="n"/>
      <c r="F168" s="34" t="n"/>
      <c r="G168" s="34" t="n"/>
      <c r="H168" s="69" t="n"/>
      <c r="I168" s="36" t="n"/>
      <c r="J168" s="69" t="n"/>
      <c r="K168" s="36" t="n"/>
      <c r="L168" s="34" t="n"/>
      <c r="M168" s="34" t="n"/>
      <c r="N168" s="37" t="n"/>
      <c r="O168" s="34" t="n"/>
      <c r="P168" s="34" t="n"/>
      <c r="Q168" s="38">
        <f>IF($A168="","",IF($P168="","",IFERROR(INDEX('Opportunities'!$C$6:$C$205,MATCH($P168,'Opportunities'!$A$6:$A$205,0)),"")))</f>
        <v/>
      </c>
      <c r="R168" s="38">
        <f>IF($A168="","",IF($P168="","",IFERROR(INDEX('Opportunities'!$D$6:$D$205,MATCH($P168,'Opportunities'!$A$6:$A$205,0)),"")))</f>
        <v/>
      </c>
      <c r="S168" s="38">
        <f>IF($A168="","",IF($P168="","",IFERROR(INDEX('Opportunities'!$E$6:$E$205,MATCH($P168,'Opportunities'!$A$6:$A$205,0)),"")))</f>
        <v/>
      </c>
      <c r="T168" s="38">
        <f>IF($A168="","",IF($P168="","",IFERROR(INDEX('Opportunities'!$F$6:$F$205,MATCH($P168,'Opportunities'!$A$6:$A$205,0)),"")))</f>
        <v/>
      </c>
      <c r="U168" s="70">
        <f>IF($A168="","",IF($P168="","",IFERROR(INDEX('Opportunities'!$G$6:$G$205,MATCH($P168,'Opportunities'!$A$6:$A$205,0)),"")))</f>
        <v/>
      </c>
      <c r="V168" s="40">
        <f>IF($A168="","",IF($P168="","",IFERROR(INDEX('Opportunities'!$H$6:$H$205,MATCH($P168,'Opportunities'!$A$6:$A$205,0)),"")))</f>
        <v/>
      </c>
      <c r="W168" s="38">
        <f>IF($A168="","",IF($P168="","",IFERROR(INDEX('Opportunities'!$I$6:$I$205,MATCH($P168,'Opportunities'!$A$6:$A$205,0)),"")))</f>
        <v/>
      </c>
      <c r="X168" s="38">
        <f>IF($A168="","",IF($P168="","",IFERROR(INDEX('Opportunities'!$J$6:$J$205,MATCH($P168,'Opportunities'!$A$6:$A$205,0)),"")))</f>
        <v/>
      </c>
      <c r="Y168" s="70">
        <f>IF($A168="","",IF($P168="","",IFERROR(INDEX('Opportunities'!$K$6:$K$205,MATCH($P168,'Opportunities'!$A$6:$A$205,0)),"")))</f>
        <v/>
      </c>
      <c r="Z168" s="41">
        <f>IF($A168="","",IF($P168="","",IFERROR(INDEX('Opportunities'!$O$6:$O$205,MATCH($P168,'Opportunities'!$A$6:$A$205,0)),"")))</f>
        <v/>
      </c>
      <c r="AA168" s="41">
        <f>IF($A168="","",IF($P168="","",IFERROR(INDEX('Opportunities'!$P$6:$P$205,MATCH($P168,'Opportunities'!$A$6:$A$205,0)),"")))</f>
        <v/>
      </c>
      <c r="AB168" s="41">
        <f>IF($A168="","",IF($P168="","",IFERROR(INDEX('Opportunities'!$Q$6:$Q$205,MATCH($P168,'Opportunities'!$A$6:$A$205,0)),"")))</f>
        <v/>
      </c>
      <c r="AC168" s="71">
        <f>IF($A168="","",IF($P168="","",IFERROR(INDEX('Opportunities'!$Z$6:$Z$205,MATCH($P168,'Opportunities'!$A$6:$A$205,0)),"")))</f>
        <v/>
      </c>
      <c r="AD168" s="71">
        <f>IF($A168="","",IF($P168="","",IFERROR(INDEX('Opportunities'!$AJ$6:$AJ$205,MATCH($P168,'Opportunities'!$A$6:$A$205,0)),"")))</f>
        <v/>
      </c>
      <c r="AE168" s="72">
        <f>IF($A168="","",IF($P168="","",IFERROR(INDEX('Opportunities'!$AA$6:$AA$205,MATCH($P168,'Opportunities'!$A$6:$A$205,0)),"")))</f>
        <v/>
      </c>
      <c r="AF168" s="73">
        <f>IF($A168="","",IF($P168="","",IFERROR(INDEX('Opportunities'!$AF$6:$AF$205,MATCH($P168,'Opportunities'!$A$6:$A$205,0)),"")))</f>
        <v/>
      </c>
      <c r="AG168" s="41">
        <f>IF($A168="","",IF($P168="","",IFERROR(INDEX('Opportunities'!$AB$6:$AB$205,MATCH($P168,'Opportunities'!$A$6:$A$205,0)),"")))</f>
        <v/>
      </c>
      <c r="AH168" s="74">
        <f>IF($A168="","",IF($P168="","",IFERROR(($U168+$V168-$J168-$K168)*24,0)))</f>
        <v/>
      </c>
      <c r="AI168" s="38">
        <f>IF($A168="","",IF($P168="","No load selected",IF($AH168&lt;IFERROR($Z168/'Settings'!$B$11,0)+'Settings'!$B$12,"Too tight",IF($AH168&gt;'Settings'!$B$13,"Long wait","Feasible"))))</f>
        <v/>
      </c>
      <c r="AJ168" s="41">
        <f>IF($A168="","",IF($P168="","",$N168-$Z168-$AB168))</f>
        <v/>
      </c>
      <c r="AK168" s="38">
        <f>IF($A168="","",IF(COUNTIF($A$6:$A$205,$A168)&gt;1,"Duplicate Trip ID",IF($P168="","Open",IF(COUNTIF('Opportunities'!$A$6:$A$205,$P168)=0,"Load ID not found",IF(COUNTIFS('Opportunities'!$A$6:$A$205,$P168,'Opportunities'!$B$6:$B$205,$A168)=0,"Trip mismatch",IF(COUNTIF($P$6:$P$205,$P168)&gt;1,"Duplicate selection",IF(AND(OR($O168="Booked",$O168="Completed"),AND($Q168&lt;&gt;"Booked",$Q168&lt;&gt;"Completed")),"Status mismatch","OK")))))))</f>
        <v/>
      </c>
      <c r="AL168" s="46" t="n"/>
    </row>
    <row r="169">
      <c r="A169" s="34" t="n"/>
      <c r="B169" s="34" t="n"/>
      <c r="C169" s="34" t="n"/>
      <c r="D169" s="34" t="n"/>
      <c r="E169" s="34" t="n"/>
      <c r="F169" s="34" t="n"/>
      <c r="G169" s="34" t="n"/>
      <c r="H169" s="69" t="n"/>
      <c r="I169" s="36" t="n"/>
      <c r="J169" s="69" t="n"/>
      <c r="K169" s="36" t="n"/>
      <c r="L169" s="34" t="n"/>
      <c r="M169" s="34" t="n"/>
      <c r="N169" s="37" t="n"/>
      <c r="O169" s="34" t="n"/>
      <c r="P169" s="34" t="n"/>
      <c r="Q169" s="38">
        <f>IF($A169="","",IF($P169="","",IFERROR(INDEX('Opportunities'!$C$6:$C$205,MATCH($P169,'Opportunities'!$A$6:$A$205,0)),"")))</f>
        <v/>
      </c>
      <c r="R169" s="38">
        <f>IF($A169="","",IF($P169="","",IFERROR(INDEX('Opportunities'!$D$6:$D$205,MATCH($P169,'Opportunities'!$A$6:$A$205,0)),"")))</f>
        <v/>
      </c>
      <c r="S169" s="38">
        <f>IF($A169="","",IF($P169="","",IFERROR(INDEX('Opportunities'!$E$6:$E$205,MATCH($P169,'Opportunities'!$A$6:$A$205,0)),"")))</f>
        <v/>
      </c>
      <c r="T169" s="38">
        <f>IF($A169="","",IF($P169="","",IFERROR(INDEX('Opportunities'!$F$6:$F$205,MATCH($P169,'Opportunities'!$A$6:$A$205,0)),"")))</f>
        <v/>
      </c>
      <c r="U169" s="70">
        <f>IF($A169="","",IF($P169="","",IFERROR(INDEX('Opportunities'!$G$6:$G$205,MATCH($P169,'Opportunities'!$A$6:$A$205,0)),"")))</f>
        <v/>
      </c>
      <c r="V169" s="40">
        <f>IF($A169="","",IF($P169="","",IFERROR(INDEX('Opportunities'!$H$6:$H$205,MATCH($P169,'Opportunities'!$A$6:$A$205,0)),"")))</f>
        <v/>
      </c>
      <c r="W169" s="38">
        <f>IF($A169="","",IF($P169="","",IFERROR(INDEX('Opportunities'!$I$6:$I$205,MATCH($P169,'Opportunities'!$A$6:$A$205,0)),"")))</f>
        <v/>
      </c>
      <c r="X169" s="38">
        <f>IF($A169="","",IF($P169="","",IFERROR(INDEX('Opportunities'!$J$6:$J$205,MATCH($P169,'Opportunities'!$A$6:$A$205,0)),"")))</f>
        <v/>
      </c>
      <c r="Y169" s="70">
        <f>IF($A169="","",IF($P169="","",IFERROR(INDEX('Opportunities'!$K$6:$K$205,MATCH($P169,'Opportunities'!$A$6:$A$205,0)),"")))</f>
        <v/>
      </c>
      <c r="Z169" s="41">
        <f>IF($A169="","",IF($P169="","",IFERROR(INDEX('Opportunities'!$O$6:$O$205,MATCH($P169,'Opportunities'!$A$6:$A$205,0)),"")))</f>
        <v/>
      </c>
      <c r="AA169" s="41">
        <f>IF($A169="","",IF($P169="","",IFERROR(INDEX('Opportunities'!$P$6:$P$205,MATCH($P169,'Opportunities'!$A$6:$A$205,0)),"")))</f>
        <v/>
      </c>
      <c r="AB169" s="41">
        <f>IF($A169="","",IF($P169="","",IFERROR(INDEX('Opportunities'!$Q$6:$Q$205,MATCH($P169,'Opportunities'!$A$6:$A$205,0)),"")))</f>
        <v/>
      </c>
      <c r="AC169" s="71">
        <f>IF($A169="","",IF($P169="","",IFERROR(INDEX('Opportunities'!$Z$6:$Z$205,MATCH($P169,'Opportunities'!$A$6:$A$205,0)),"")))</f>
        <v/>
      </c>
      <c r="AD169" s="71">
        <f>IF($A169="","",IF($P169="","",IFERROR(INDEX('Opportunities'!$AJ$6:$AJ$205,MATCH($P169,'Opportunities'!$A$6:$A$205,0)),"")))</f>
        <v/>
      </c>
      <c r="AE169" s="72">
        <f>IF($A169="","",IF($P169="","",IFERROR(INDEX('Opportunities'!$AA$6:$AA$205,MATCH($P169,'Opportunities'!$A$6:$A$205,0)),"")))</f>
        <v/>
      </c>
      <c r="AF169" s="73">
        <f>IF($A169="","",IF($P169="","",IFERROR(INDEX('Opportunities'!$AF$6:$AF$205,MATCH($P169,'Opportunities'!$A$6:$A$205,0)),"")))</f>
        <v/>
      </c>
      <c r="AG169" s="41">
        <f>IF($A169="","",IF($P169="","",IFERROR(INDEX('Opportunities'!$AB$6:$AB$205,MATCH($P169,'Opportunities'!$A$6:$A$205,0)),"")))</f>
        <v/>
      </c>
      <c r="AH169" s="74">
        <f>IF($A169="","",IF($P169="","",IFERROR(($U169+$V169-$J169-$K169)*24,0)))</f>
        <v/>
      </c>
      <c r="AI169" s="38">
        <f>IF($A169="","",IF($P169="","No load selected",IF($AH169&lt;IFERROR($Z169/'Settings'!$B$11,0)+'Settings'!$B$12,"Too tight",IF($AH169&gt;'Settings'!$B$13,"Long wait","Feasible"))))</f>
        <v/>
      </c>
      <c r="AJ169" s="41">
        <f>IF($A169="","",IF($P169="","",$N169-$Z169-$AB169))</f>
        <v/>
      </c>
      <c r="AK169" s="38">
        <f>IF($A169="","",IF(COUNTIF($A$6:$A$205,$A169)&gt;1,"Duplicate Trip ID",IF($P169="","Open",IF(COUNTIF('Opportunities'!$A$6:$A$205,$P169)=0,"Load ID not found",IF(COUNTIFS('Opportunities'!$A$6:$A$205,$P169,'Opportunities'!$B$6:$B$205,$A169)=0,"Trip mismatch",IF(COUNTIF($P$6:$P$205,$P169)&gt;1,"Duplicate selection",IF(AND(OR($O169="Booked",$O169="Completed"),AND($Q169&lt;&gt;"Booked",$Q169&lt;&gt;"Completed")),"Status mismatch","OK")))))))</f>
        <v/>
      </c>
      <c r="AL169" s="46" t="n"/>
    </row>
    <row r="170">
      <c r="A170" s="34" t="n"/>
      <c r="B170" s="34" t="n"/>
      <c r="C170" s="34" t="n"/>
      <c r="D170" s="34" t="n"/>
      <c r="E170" s="34" t="n"/>
      <c r="F170" s="34" t="n"/>
      <c r="G170" s="34" t="n"/>
      <c r="H170" s="69" t="n"/>
      <c r="I170" s="36" t="n"/>
      <c r="J170" s="69" t="n"/>
      <c r="K170" s="36" t="n"/>
      <c r="L170" s="34" t="n"/>
      <c r="M170" s="34" t="n"/>
      <c r="N170" s="37" t="n"/>
      <c r="O170" s="34" t="n"/>
      <c r="P170" s="34" t="n"/>
      <c r="Q170" s="38">
        <f>IF($A170="","",IF($P170="","",IFERROR(INDEX('Opportunities'!$C$6:$C$205,MATCH($P170,'Opportunities'!$A$6:$A$205,0)),"")))</f>
        <v/>
      </c>
      <c r="R170" s="38">
        <f>IF($A170="","",IF($P170="","",IFERROR(INDEX('Opportunities'!$D$6:$D$205,MATCH($P170,'Opportunities'!$A$6:$A$205,0)),"")))</f>
        <v/>
      </c>
      <c r="S170" s="38">
        <f>IF($A170="","",IF($P170="","",IFERROR(INDEX('Opportunities'!$E$6:$E$205,MATCH($P170,'Opportunities'!$A$6:$A$205,0)),"")))</f>
        <v/>
      </c>
      <c r="T170" s="38">
        <f>IF($A170="","",IF($P170="","",IFERROR(INDEX('Opportunities'!$F$6:$F$205,MATCH($P170,'Opportunities'!$A$6:$A$205,0)),"")))</f>
        <v/>
      </c>
      <c r="U170" s="70">
        <f>IF($A170="","",IF($P170="","",IFERROR(INDEX('Opportunities'!$G$6:$G$205,MATCH($P170,'Opportunities'!$A$6:$A$205,0)),"")))</f>
        <v/>
      </c>
      <c r="V170" s="40">
        <f>IF($A170="","",IF($P170="","",IFERROR(INDEX('Opportunities'!$H$6:$H$205,MATCH($P170,'Opportunities'!$A$6:$A$205,0)),"")))</f>
        <v/>
      </c>
      <c r="W170" s="38">
        <f>IF($A170="","",IF($P170="","",IFERROR(INDEX('Opportunities'!$I$6:$I$205,MATCH($P170,'Opportunities'!$A$6:$A$205,0)),"")))</f>
        <v/>
      </c>
      <c r="X170" s="38">
        <f>IF($A170="","",IF($P170="","",IFERROR(INDEX('Opportunities'!$J$6:$J$205,MATCH($P170,'Opportunities'!$A$6:$A$205,0)),"")))</f>
        <v/>
      </c>
      <c r="Y170" s="70">
        <f>IF($A170="","",IF($P170="","",IFERROR(INDEX('Opportunities'!$K$6:$K$205,MATCH($P170,'Opportunities'!$A$6:$A$205,0)),"")))</f>
        <v/>
      </c>
      <c r="Z170" s="41">
        <f>IF($A170="","",IF($P170="","",IFERROR(INDEX('Opportunities'!$O$6:$O$205,MATCH($P170,'Opportunities'!$A$6:$A$205,0)),"")))</f>
        <v/>
      </c>
      <c r="AA170" s="41">
        <f>IF($A170="","",IF($P170="","",IFERROR(INDEX('Opportunities'!$P$6:$P$205,MATCH($P170,'Opportunities'!$A$6:$A$205,0)),"")))</f>
        <v/>
      </c>
      <c r="AB170" s="41">
        <f>IF($A170="","",IF($P170="","",IFERROR(INDEX('Opportunities'!$Q$6:$Q$205,MATCH($P170,'Opportunities'!$A$6:$A$205,0)),"")))</f>
        <v/>
      </c>
      <c r="AC170" s="71">
        <f>IF($A170="","",IF($P170="","",IFERROR(INDEX('Opportunities'!$Z$6:$Z$205,MATCH($P170,'Opportunities'!$A$6:$A$205,0)),"")))</f>
        <v/>
      </c>
      <c r="AD170" s="71">
        <f>IF($A170="","",IF($P170="","",IFERROR(INDEX('Opportunities'!$AJ$6:$AJ$205,MATCH($P170,'Opportunities'!$A$6:$A$205,0)),"")))</f>
        <v/>
      </c>
      <c r="AE170" s="72">
        <f>IF($A170="","",IF($P170="","",IFERROR(INDEX('Opportunities'!$AA$6:$AA$205,MATCH($P170,'Opportunities'!$A$6:$A$205,0)),"")))</f>
        <v/>
      </c>
      <c r="AF170" s="73">
        <f>IF($A170="","",IF($P170="","",IFERROR(INDEX('Opportunities'!$AF$6:$AF$205,MATCH($P170,'Opportunities'!$A$6:$A$205,0)),"")))</f>
        <v/>
      </c>
      <c r="AG170" s="41">
        <f>IF($A170="","",IF($P170="","",IFERROR(INDEX('Opportunities'!$AB$6:$AB$205,MATCH($P170,'Opportunities'!$A$6:$A$205,0)),"")))</f>
        <v/>
      </c>
      <c r="AH170" s="74">
        <f>IF($A170="","",IF($P170="","",IFERROR(($U170+$V170-$J170-$K170)*24,0)))</f>
        <v/>
      </c>
      <c r="AI170" s="38">
        <f>IF($A170="","",IF($P170="","No load selected",IF($AH170&lt;IFERROR($Z170/'Settings'!$B$11,0)+'Settings'!$B$12,"Too tight",IF($AH170&gt;'Settings'!$B$13,"Long wait","Feasible"))))</f>
        <v/>
      </c>
      <c r="AJ170" s="41">
        <f>IF($A170="","",IF($P170="","",$N170-$Z170-$AB170))</f>
        <v/>
      </c>
      <c r="AK170" s="38">
        <f>IF($A170="","",IF(COUNTIF($A$6:$A$205,$A170)&gt;1,"Duplicate Trip ID",IF($P170="","Open",IF(COUNTIF('Opportunities'!$A$6:$A$205,$P170)=0,"Load ID not found",IF(COUNTIFS('Opportunities'!$A$6:$A$205,$P170,'Opportunities'!$B$6:$B$205,$A170)=0,"Trip mismatch",IF(COUNTIF($P$6:$P$205,$P170)&gt;1,"Duplicate selection",IF(AND(OR($O170="Booked",$O170="Completed"),AND($Q170&lt;&gt;"Booked",$Q170&lt;&gt;"Completed")),"Status mismatch","OK")))))))</f>
        <v/>
      </c>
      <c r="AL170" s="46" t="n"/>
    </row>
    <row r="171">
      <c r="A171" s="34" t="n"/>
      <c r="B171" s="34" t="n"/>
      <c r="C171" s="34" t="n"/>
      <c r="D171" s="34" t="n"/>
      <c r="E171" s="34" t="n"/>
      <c r="F171" s="34" t="n"/>
      <c r="G171" s="34" t="n"/>
      <c r="H171" s="69" t="n"/>
      <c r="I171" s="36" t="n"/>
      <c r="J171" s="69" t="n"/>
      <c r="K171" s="36" t="n"/>
      <c r="L171" s="34" t="n"/>
      <c r="M171" s="34" t="n"/>
      <c r="N171" s="37" t="n"/>
      <c r="O171" s="34" t="n"/>
      <c r="P171" s="34" t="n"/>
      <c r="Q171" s="38">
        <f>IF($A171="","",IF($P171="","",IFERROR(INDEX('Opportunities'!$C$6:$C$205,MATCH($P171,'Opportunities'!$A$6:$A$205,0)),"")))</f>
        <v/>
      </c>
      <c r="R171" s="38">
        <f>IF($A171="","",IF($P171="","",IFERROR(INDEX('Opportunities'!$D$6:$D$205,MATCH($P171,'Opportunities'!$A$6:$A$205,0)),"")))</f>
        <v/>
      </c>
      <c r="S171" s="38">
        <f>IF($A171="","",IF($P171="","",IFERROR(INDEX('Opportunities'!$E$6:$E$205,MATCH($P171,'Opportunities'!$A$6:$A$205,0)),"")))</f>
        <v/>
      </c>
      <c r="T171" s="38">
        <f>IF($A171="","",IF($P171="","",IFERROR(INDEX('Opportunities'!$F$6:$F$205,MATCH($P171,'Opportunities'!$A$6:$A$205,0)),"")))</f>
        <v/>
      </c>
      <c r="U171" s="70">
        <f>IF($A171="","",IF($P171="","",IFERROR(INDEX('Opportunities'!$G$6:$G$205,MATCH($P171,'Opportunities'!$A$6:$A$205,0)),"")))</f>
        <v/>
      </c>
      <c r="V171" s="40">
        <f>IF($A171="","",IF($P171="","",IFERROR(INDEX('Opportunities'!$H$6:$H$205,MATCH($P171,'Opportunities'!$A$6:$A$205,0)),"")))</f>
        <v/>
      </c>
      <c r="W171" s="38">
        <f>IF($A171="","",IF($P171="","",IFERROR(INDEX('Opportunities'!$I$6:$I$205,MATCH($P171,'Opportunities'!$A$6:$A$205,0)),"")))</f>
        <v/>
      </c>
      <c r="X171" s="38">
        <f>IF($A171="","",IF($P171="","",IFERROR(INDEX('Opportunities'!$J$6:$J$205,MATCH($P171,'Opportunities'!$A$6:$A$205,0)),"")))</f>
        <v/>
      </c>
      <c r="Y171" s="70">
        <f>IF($A171="","",IF($P171="","",IFERROR(INDEX('Opportunities'!$K$6:$K$205,MATCH($P171,'Opportunities'!$A$6:$A$205,0)),"")))</f>
        <v/>
      </c>
      <c r="Z171" s="41">
        <f>IF($A171="","",IF($P171="","",IFERROR(INDEX('Opportunities'!$O$6:$O$205,MATCH($P171,'Opportunities'!$A$6:$A$205,0)),"")))</f>
        <v/>
      </c>
      <c r="AA171" s="41">
        <f>IF($A171="","",IF($P171="","",IFERROR(INDEX('Opportunities'!$P$6:$P$205,MATCH($P171,'Opportunities'!$A$6:$A$205,0)),"")))</f>
        <v/>
      </c>
      <c r="AB171" s="41">
        <f>IF($A171="","",IF($P171="","",IFERROR(INDEX('Opportunities'!$Q$6:$Q$205,MATCH($P171,'Opportunities'!$A$6:$A$205,0)),"")))</f>
        <v/>
      </c>
      <c r="AC171" s="71">
        <f>IF($A171="","",IF($P171="","",IFERROR(INDEX('Opportunities'!$Z$6:$Z$205,MATCH($P171,'Opportunities'!$A$6:$A$205,0)),"")))</f>
        <v/>
      </c>
      <c r="AD171" s="71">
        <f>IF($A171="","",IF($P171="","",IFERROR(INDEX('Opportunities'!$AJ$6:$AJ$205,MATCH($P171,'Opportunities'!$A$6:$A$205,0)),"")))</f>
        <v/>
      </c>
      <c r="AE171" s="72">
        <f>IF($A171="","",IF($P171="","",IFERROR(INDEX('Opportunities'!$AA$6:$AA$205,MATCH($P171,'Opportunities'!$A$6:$A$205,0)),"")))</f>
        <v/>
      </c>
      <c r="AF171" s="73">
        <f>IF($A171="","",IF($P171="","",IFERROR(INDEX('Opportunities'!$AF$6:$AF$205,MATCH($P171,'Opportunities'!$A$6:$A$205,0)),"")))</f>
        <v/>
      </c>
      <c r="AG171" s="41">
        <f>IF($A171="","",IF($P171="","",IFERROR(INDEX('Opportunities'!$AB$6:$AB$205,MATCH($P171,'Opportunities'!$A$6:$A$205,0)),"")))</f>
        <v/>
      </c>
      <c r="AH171" s="74">
        <f>IF($A171="","",IF($P171="","",IFERROR(($U171+$V171-$J171-$K171)*24,0)))</f>
        <v/>
      </c>
      <c r="AI171" s="38">
        <f>IF($A171="","",IF($P171="","No load selected",IF($AH171&lt;IFERROR($Z171/'Settings'!$B$11,0)+'Settings'!$B$12,"Too tight",IF($AH171&gt;'Settings'!$B$13,"Long wait","Feasible"))))</f>
        <v/>
      </c>
      <c r="AJ171" s="41">
        <f>IF($A171="","",IF($P171="","",$N171-$Z171-$AB171))</f>
        <v/>
      </c>
      <c r="AK171" s="38">
        <f>IF($A171="","",IF(COUNTIF($A$6:$A$205,$A171)&gt;1,"Duplicate Trip ID",IF($P171="","Open",IF(COUNTIF('Opportunities'!$A$6:$A$205,$P171)=0,"Load ID not found",IF(COUNTIFS('Opportunities'!$A$6:$A$205,$P171,'Opportunities'!$B$6:$B$205,$A171)=0,"Trip mismatch",IF(COUNTIF($P$6:$P$205,$P171)&gt;1,"Duplicate selection",IF(AND(OR($O171="Booked",$O171="Completed"),AND($Q171&lt;&gt;"Booked",$Q171&lt;&gt;"Completed")),"Status mismatch","OK")))))))</f>
        <v/>
      </c>
      <c r="AL171" s="46" t="n"/>
    </row>
    <row r="172">
      <c r="A172" s="34" t="n"/>
      <c r="B172" s="34" t="n"/>
      <c r="C172" s="34" t="n"/>
      <c r="D172" s="34" t="n"/>
      <c r="E172" s="34" t="n"/>
      <c r="F172" s="34" t="n"/>
      <c r="G172" s="34" t="n"/>
      <c r="H172" s="69" t="n"/>
      <c r="I172" s="36" t="n"/>
      <c r="J172" s="69" t="n"/>
      <c r="K172" s="36" t="n"/>
      <c r="L172" s="34" t="n"/>
      <c r="M172" s="34" t="n"/>
      <c r="N172" s="37" t="n"/>
      <c r="O172" s="34" t="n"/>
      <c r="P172" s="34" t="n"/>
      <c r="Q172" s="38">
        <f>IF($A172="","",IF($P172="","",IFERROR(INDEX('Opportunities'!$C$6:$C$205,MATCH($P172,'Opportunities'!$A$6:$A$205,0)),"")))</f>
        <v/>
      </c>
      <c r="R172" s="38">
        <f>IF($A172="","",IF($P172="","",IFERROR(INDEX('Opportunities'!$D$6:$D$205,MATCH($P172,'Opportunities'!$A$6:$A$205,0)),"")))</f>
        <v/>
      </c>
      <c r="S172" s="38">
        <f>IF($A172="","",IF($P172="","",IFERROR(INDEX('Opportunities'!$E$6:$E$205,MATCH($P172,'Opportunities'!$A$6:$A$205,0)),"")))</f>
        <v/>
      </c>
      <c r="T172" s="38">
        <f>IF($A172="","",IF($P172="","",IFERROR(INDEX('Opportunities'!$F$6:$F$205,MATCH($P172,'Opportunities'!$A$6:$A$205,0)),"")))</f>
        <v/>
      </c>
      <c r="U172" s="70">
        <f>IF($A172="","",IF($P172="","",IFERROR(INDEX('Opportunities'!$G$6:$G$205,MATCH($P172,'Opportunities'!$A$6:$A$205,0)),"")))</f>
        <v/>
      </c>
      <c r="V172" s="40">
        <f>IF($A172="","",IF($P172="","",IFERROR(INDEX('Opportunities'!$H$6:$H$205,MATCH($P172,'Opportunities'!$A$6:$A$205,0)),"")))</f>
        <v/>
      </c>
      <c r="W172" s="38">
        <f>IF($A172="","",IF($P172="","",IFERROR(INDEX('Opportunities'!$I$6:$I$205,MATCH($P172,'Opportunities'!$A$6:$A$205,0)),"")))</f>
        <v/>
      </c>
      <c r="X172" s="38">
        <f>IF($A172="","",IF($P172="","",IFERROR(INDEX('Opportunities'!$J$6:$J$205,MATCH($P172,'Opportunities'!$A$6:$A$205,0)),"")))</f>
        <v/>
      </c>
      <c r="Y172" s="70">
        <f>IF($A172="","",IF($P172="","",IFERROR(INDEX('Opportunities'!$K$6:$K$205,MATCH($P172,'Opportunities'!$A$6:$A$205,0)),"")))</f>
        <v/>
      </c>
      <c r="Z172" s="41">
        <f>IF($A172="","",IF($P172="","",IFERROR(INDEX('Opportunities'!$O$6:$O$205,MATCH($P172,'Opportunities'!$A$6:$A$205,0)),"")))</f>
        <v/>
      </c>
      <c r="AA172" s="41">
        <f>IF($A172="","",IF($P172="","",IFERROR(INDEX('Opportunities'!$P$6:$P$205,MATCH($P172,'Opportunities'!$A$6:$A$205,0)),"")))</f>
        <v/>
      </c>
      <c r="AB172" s="41">
        <f>IF($A172="","",IF($P172="","",IFERROR(INDEX('Opportunities'!$Q$6:$Q$205,MATCH($P172,'Opportunities'!$A$6:$A$205,0)),"")))</f>
        <v/>
      </c>
      <c r="AC172" s="71">
        <f>IF($A172="","",IF($P172="","",IFERROR(INDEX('Opportunities'!$Z$6:$Z$205,MATCH($P172,'Opportunities'!$A$6:$A$205,0)),"")))</f>
        <v/>
      </c>
      <c r="AD172" s="71">
        <f>IF($A172="","",IF($P172="","",IFERROR(INDEX('Opportunities'!$AJ$6:$AJ$205,MATCH($P172,'Opportunities'!$A$6:$A$205,0)),"")))</f>
        <v/>
      </c>
      <c r="AE172" s="72">
        <f>IF($A172="","",IF($P172="","",IFERROR(INDEX('Opportunities'!$AA$6:$AA$205,MATCH($P172,'Opportunities'!$A$6:$A$205,0)),"")))</f>
        <v/>
      </c>
      <c r="AF172" s="73">
        <f>IF($A172="","",IF($P172="","",IFERROR(INDEX('Opportunities'!$AF$6:$AF$205,MATCH($P172,'Opportunities'!$A$6:$A$205,0)),"")))</f>
        <v/>
      </c>
      <c r="AG172" s="41">
        <f>IF($A172="","",IF($P172="","",IFERROR(INDEX('Opportunities'!$AB$6:$AB$205,MATCH($P172,'Opportunities'!$A$6:$A$205,0)),"")))</f>
        <v/>
      </c>
      <c r="AH172" s="74">
        <f>IF($A172="","",IF($P172="","",IFERROR(($U172+$V172-$J172-$K172)*24,0)))</f>
        <v/>
      </c>
      <c r="AI172" s="38">
        <f>IF($A172="","",IF($P172="","No load selected",IF($AH172&lt;IFERROR($Z172/'Settings'!$B$11,0)+'Settings'!$B$12,"Too tight",IF($AH172&gt;'Settings'!$B$13,"Long wait","Feasible"))))</f>
        <v/>
      </c>
      <c r="AJ172" s="41">
        <f>IF($A172="","",IF($P172="","",$N172-$Z172-$AB172))</f>
        <v/>
      </c>
      <c r="AK172" s="38">
        <f>IF($A172="","",IF(COUNTIF($A$6:$A$205,$A172)&gt;1,"Duplicate Trip ID",IF($P172="","Open",IF(COUNTIF('Opportunities'!$A$6:$A$205,$P172)=0,"Load ID not found",IF(COUNTIFS('Opportunities'!$A$6:$A$205,$P172,'Opportunities'!$B$6:$B$205,$A172)=0,"Trip mismatch",IF(COUNTIF($P$6:$P$205,$P172)&gt;1,"Duplicate selection",IF(AND(OR($O172="Booked",$O172="Completed"),AND($Q172&lt;&gt;"Booked",$Q172&lt;&gt;"Completed")),"Status mismatch","OK")))))))</f>
        <v/>
      </c>
      <c r="AL172" s="46" t="n"/>
    </row>
    <row r="173">
      <c r="A173" s="34" t="n"/>
      <c r="B173" s="34" t="n"/>
      <c r="C173" s="34" t="n"/>
      <c r="D173" s="34" t="n"/>
      <c r="E173" s="34" t="n"/>
      <c r="F173" s="34" t="n"/>
      <c r="G173" s="34" t="n"/>
      <c r="H173" s="69" t="n"/>
      <c r="I173" s="36" t="n"/>
      <c r="J173" s="69" t="n"/>
      <c r="K173" s="36" t="n"/>
      <c r="L173" s="34" t="n"/>
      <c r="M173" s="34" t="n"/>
      <c r="N173" s="37" t="n"/>
      <c r="O173" s="34" t="n"/>
      <c r="P173" s="34" t="n"/>
      <c r="Q173" s="38">
        <f>IF($A173="","",IF($P173="","",IFERROR(INDEX('Opportunities'!$C$6:$C$205,MATCH($P173,'Opportunities'!$A$6:$A$205,0)),"")))</f>
        <v/>
      </c>
      <c r="R173" s="38">
        <f>IF($A173="","",IF($P173="","",IFERROR(INDEX('Opportunities'!$D$6:$D$205,MATCH($P173,'Opportunities'!$A$6:$A$205,0)),"")))</f>
        <v/>
      </c>
      <c r="S173" s="38">
        <f>IF($A173="","",IF($P173="","",IFERROR(INDEX('Opportunities'!$E$6:$E$205,MATCH($P173,'Opportunities'!$A$6:$A$205,0)),"")))</f>
        <v/>
      </c>
      <c r="T173" s="38">
        <f>IF($A173="","",IF($P173="","",IFERROR(INDEX('Opportunities'!$F$6:$F$205,MATCH($P173,'Opportunities'!$A$6:$A$205,0)),"")))</f>
        <v/>
      </c>
      <c r="U173" s="70">
        <f>IF($A173="","",IF($P173="","",IFERROR(INDEX('Opportunities'!$G$6:$G$205,MATCH($P173,'Opportunities'!$A$6:$A$205,0)),"")))</f>
        <v/>
      </c>
      <c r="V173" s="40">
        <f>IF($A173="","",IF($P173="","",IFERROR(INDEX('Opportunities'!$H$6:$H$205,MATCH($P173,'Opportunities'!$A$6:$A$205,0)),"")))</f>
        <v/>
      </c>
      <c r="W173" s="38">
        <f>IF($A173="","",IF($P173="","",IFERROR(INDEX('Opportunities'!$I$6:$I$205,MATCH($P173,'Opportunities'!$A$6:$A$205,0)),"")))</f>
        <v/>
      </c>
      <c r="X173" s="38">
        <f>IF($A173="","",IF($P173="","",IFERROR(INDEX('Opportunities'!$J$6:$J$205,MATCH($P173,'Opportunities'!$A$6:$A$205,0)),"")))</f>
        <v/>
      </c>
      <c r="Y173" s="70">
        <f>IF($A173="","",IF($P173="","",IFERROR(INDEX('Opportunities'!$K$6:$K$205,MATCH($P173,'Opportunities'!$A$6:$A$205,0)),"")))</f>
        <v/>
      </c>
      <c r="Z173" s="41">
        <f>IF($A173="","",IF($P173="","",IFERROR(INDEX('Opportunities'!$O$6:$O$205,MATCH($P173,'Opportunities'!$A$6:$A$205,0)),"")))</f>
        <v/>
      </c>
      <c r="AA173" s="41">
        <f>IF($A173="","",IF($P173="","",IFERROR(INDEX('Opportunities'!$P$6:$P$205,MATCH($P173,'Opportunities'!$A$6:$A$205,0)),"")))</f>
        <v/>
      </c>
      <c r="AB173" s="41">
        <f>IF($A173="","",IF($P173="","",IFERROR(INDEX('Opportunities'!$Q$6:$Q$205,MATCH($P173,'Opportunities'!$A$6:$A$205,0)),"")))</f>
        <v/>
      </c>
      <c r="AC173" s="71">
        <f>IF($A173="","",IF($P173="","",IFERROR(INDEX('Opportunities'!$Z$6:$Z$205,MATCH($P173,'Opportunities'!$A$6:$A$205,0)),"")))</f>
        <v/>
      </c>
      <c r="AD173" s="71">
        <f>IF($A173="","",IF($P173="","",IFERROR(INDEX('Opportunities'!$AJ$6:$AJ$205,MATCH($P173,'Opportunities'!$A$6:$A$205,0)),"")))</f>
        <v/>
      </c>
      <c r="AE173" s="72">
        <f>IF($A173="","",IF($P173="","",IFERROR(INDEX('Opportunities'!$AA$6:$AA$205,MATCH($P173,'Opportunities'!$A$6:$A$205,0)),"")))</f>
        <v/>
      </c>
      <c r="AF173" s="73">
        <f>IF($A173="","",IF($P173="","",IFERROR(INDEX('Opportunities'!$AF$6:$AF$205,MATCH($P173,'Opportunities'!$A$6:$A$205,0)),"")))</f>
        <v/>
      </c>
      <c r="AG173" s="41">
        <f>IF($A173="","",IF($P173="","",IFERROR(INDEX('Opportunities'!$AB$6:$AB$205,MATCH($P173,'Opportunities'!$A$6:$A$205,0)),"")))</f>
        <v/>
      </c>
      <c r="AH173" s="74">
        <f>IF($A173="","",IF($P173="","",IFERROR(($U173+$V173-$J173-$K173)*24,0)))</f>
        <v/>
      </c>
      <c r="AI173" s="38">
        <f>IF($A173="","",IF($P173="","No load selected",IF($AH173&lt;IFERROR($Z173/'Settings'!$B$11,0)+'Settings'!$B$12,"Too tight",IF($AH173&gt;'Settings'!$B$13,"Long wait","Feasible"))))</f>
        <v/>
      </c>
      <c r="AJ173" s="41">
        <f>IF($A173="","",IF($P173="","",$N173-$Z173-$AB173))</f>
        <v/>
      </c>
      <c r="AK173" s="38">
        <f>IF($A173="","",IF(COUNTIF($A$6:$A$205,$A173)&gt;1,"Duplicate Trip ID",IF($P173="","Open",IF(COUNTIF('Opportunities'!$A$6:$A$205,$P173)=0,"Load ID not found",IF(COUNTIFS('Opportunities'!$A$6:$A$205,$P173,'Opportunities'!$B$6:$B$205,$A173)=0,"Trip mismatch",IF(COUNTIF($P$6:$P$205,$P173)&gt;1,"Duplicate selection",IF(AND(OR($O173="Booked",$O173="Completed"),AND($Q173&lt;&gt;"Booked",$Q173&lt;&gt;"Completed")),"Status mismatch","OK")))))))</f>
        <v/>
      </c>
      <c r="AL173" s="46" t="n"/>
    </row>
    <row r="174">
      <c r="A174" s="34" t="n"/>
      <c r="B174" s="34" t="n"/>
      <c r="C174" s="34" t="n"/>
      <c r="D174" s="34" t="n"/>
      <c r="E174" s="34" t="n"/>
      <c r="F174" s="34" t="n"/>
      <c r="G174" s="34" t="n"/>
      <c r="H174" s="69" t="n"/>
      <c r="I174" s="36" t="n"/>
      <c r="J174" s="69" t="n"/>
      <c r="K174" s="36" t="n"/>
      <c r="L174" s="34" t="n"/>
      <c r="M174" s="34" t="n"/>
      <c r="N174" s="37" t="n"/>
      <c r="O174" s="34" t="n"/>
      <c r="P174" s="34" t="n"/>
      <c r="Q174" s="38">
        <f>IF($A174="","",IF($P174="","",IFERROR(INDEX('Opportunities'!$C$6:$C$205,MATCH($P174,'Opportunities'!$A$6:$A$205,0)),"")))</f>
        <v/>
      </c>
      <c r="R174" s="38">
        <f>IF($A174="","",IF($P174="","",IFERROR(INDEX('Opportunities'!$D$6:$D$205,MATCH($P174,'Opportunities'!$A$6:$A$205,0)),"")))</f>
        <v/>
      </c>
      <c r="S174" s="38">
        <f>IF($A174="","",IF($P174="","",IFERROR(INDEX('Opportunities'!$E$6:$E$205,MATCH($P174,'Opportunities'!$A$6:$A$205,0)),"")))</f>
        <v/>
      </c>
      <c r="T174" s="38">
        <f>IF($A174="","",IF($P174="","",IFERROR(INDEX('Opportunities'!$F$6:$F$205,MATCH($P174,'Opportunities'!$A$6:$A$205,0)),"")))</f>
        <v/>
      </c>
      <c r="U174" s="70">
        <f>IF($A174="","",IF($P174="","",IFERROR(INDEX('Opportunities'!$G$6:$G$205,MATCH($P174,'Opportunities'!$A$6:$A$205,0)),"")))</f>
        <v/>
      </c>
      <c r="V174" s="40">
        <f>IF($A174="","",IF($P174="","",IFERROR(INDEX('Opportunities'!$H$6:$H$205,MATCH($P174,'Opportunities'!$A$6:$A$205,0)),"")))</f>
        <v/>
      </c>
      <c r="W174" s="38">
        <f>IF($A174="","",IF($P174="","",IFERROR(INDEX('Opportunities'!$I$6:$I$205,MATCH($P174,'Opportunities'!$A$6:$A$205,0)),"")))</f>
        <v/>
      </c>
      <c r="X174" s="38">
        <f>IF($A174="","",IF($P174="","",IFERROR(INDEX('Opportunities'!$J$6:$J$205,MATCH($P174,'Opportunities'!$A$6:$A$205,0)),"")))</f>
        <v/>
      </c>
      <c r="Y174" s="70">
        <f>IF($A174="","",IF($P174="","",IFERROR(INDEX('Opportunities'!$K$6:$K$205,MATCH($P174,'Opportunities'!$A$6:$A$205,0)),"")))</f>
        <v/>
      </c>
      <c r="Z174" s="41">
        <f>IF($A174="","",IF($P174="","",IFERROR(INDEX('Opportunities'!$O$6:$O$205,MATCH($P174,'Opportunities'!$A$6:$A$205,0)),"")))</f>
        <v/>
      </c>
      <c r="AA174" s="41">
        <f>IF($A174="","",IF($P174="","",IFERROR(INDEX('Opportunities'!$P$6:$P$205,MATCH($P174,'Opportunities'!$A$6:$A$205,0)),"")))</f>
        <v/>
      </c>
      <c r="AB174" s="41">
        <f>IF($A174="","",IF($P174="","",IFERROR(INDEX('Opportunities'!$Q$6:$Q$205,MATCH($P174,'Opportunities'!$A$6:$A$205,0)),"")))</f>
        <v/>
      </c>
      <c r="AC174" s="71">
        <f>IF($A174="","",IF($P174="","",IFERROR(INDEX('Opportunities'!$Z$6:$Z$205,MATCH($P174,'Opportunities'!$A$6:$A$205,0)),"")))</f>
        <v/>
      </c>
      <c r="AD174" s="71">
        <f>IF($A174="","",IF($P174="","",IFERROR(INDEX('Opportunities'!$AJ$6:$AJ$205,MATCH($P174,'Opportunities'!$A$6:$A$205,0)),"")))</f>
        <v/>
      </c>
      <c r="AE174" s="72">
        <f>IF($A174="","",IF($P174="","",IFERROR(INDEX('Opportunities'!$AA$6:$AA$205,MATCH($P174,'Opportunities'!$A$6:$A$205,0)),"")))</f>
        <v/>
      </c>
      <c r="AF174" s="73">
        <f>IF($A174="","",IF($P174="","",IFERROR(INDEX('Opportunities'!$AF$6:$AF$205,MATCH($P174,'Opportunities'!$A$6:$A$205,0)),"")))</f>
        <v/>
      </c>
      <c r="AG174" s="41">
        <f>IF($A174="","",IF($P174="","",IFERROR(INDEX('Opportunities'!$AB$6:$AB$205,MATCH($P174,'Opportunities'!$A$6:$A$205,0)),"")))</f>
        <v/>
      </c>
      <c r="AH174" s="74">
        <f>IF($A174="","",IF($P174="","",IFERROR(($U174+$V174-$J174-$K174)*24,0)))</f>
        <v/>
      </c>
      <c r="AI174" s="38">
        <f>IF($A174="","",IF($P174="","No load selected",IF($AH174&lt;IFERROR($Z174/'Settings'!$B$11,0)+'Settings'!$B$12,"Too tight",IF($AH174&gt;'Settings'!$B$13,"Long wait","Feasible"))))</f>
        <v/>
      </c>
      <c r="AJ174" s="41">
        <f>IF($A174="","",IF($P174="","",$N174-$Z174-$AB174))</f>
        <v/>
      </c>
      <c r="AK174" s="38">
        <f>IF($A174="","",IF(COUNTIF($A$6:$A$205,$A174)&gt;1,"Duplicate Trip ID",IF($P174="","Open",IF(COUNTIF('Opportunities'!$A$6:$A$205,$P174)=0,"Load ID not found",IF(COUNTIFS('Opportunities'!$A$6:$A$205,$P174,'Opportunities'!$B$6:$B$205,$A174)=0,"Trip mismatch",IF(COUNTIF($P$6:$P$205,$P174)&gt;1,"Duplicate selection",IF(AND(OR($O174="Booked",$O174="Completed"),AND($Q174&lt;&gt;"Booked",$Q174&lt;&gt;"Completed")),"Status mismatch","OK")))))))</f>
        <v/>
      </c>
      <c r="AL174" s="46" t="n"/>
    </row>
    <row r="175">
      <c r="A175" s="34" t="n"/>
      <c r="B175" s="34" t="n"/>
      <c r="C175" s="34" t="n"/>
      <c r="D175" s="34" t="n"/>
      <c r="E175" s="34" t="n"/>
      <c r="F175" s="34" t="n"/>
      <c r="G175" s="34" t="n"/>
      <c r="H175" s="69" t="n"/>
      <c r="I175" s="36" t="n"/>
      <c r="J175" s="69" t="n"/>
      <c r="K175" s="36" t="n"/>
      <c r="L175" s="34" t="n"/>
      <c r="M175" s="34" t="n"/>
      <c r="N175" s="37" t="n"/>
      <c r="O175" s="34" t="n"/>
      <c r="P175" s="34" t="n"/>
      <c r="Q175" s="38">
        <f>IF($A175="","",IF($P175="","",IFERROR(INDEX('Opportunities'!$C$6:$C$205,MATCH($P175,'Opportunities'!$A$6:$A$205,0)),"")))</f>
        <v/>
      </c>
      <c r="R175" s="38">
        <f>IF($A175="","",IF($P175="","",IFERROR(INDEX('Opportunities'!$D$6:$D$205,MATCH($P175,'Opportunities'!$A$6:$A$205,0)),"")))</f>
        <v/>
      </c>
      <c r="S175" s="38">
        <f>IF($A175="","",IF($P175="","",IFERROR(INDEX('Opportunities'!$E$6:$E$205,MATCH($P175,'Opportunities'!$A$6:$A$205,0)),"")))</f>
        <v/>
      </c>
      <c r="T175" s="38">
        <f>IF($A175="","",IF($P175="","",IFERROR(INDEX('Opportunities'!$F$6:$F$205,MATCH($P175,'Opportunities'!$A$6:$A$205,0)),"")))</f>
        <v/>
      </c>
      <c r="U175" s="70">
        <f>IF($A175="","",IF($P175="","",IFERROR(INDEX('Opportunities'!$G$6:$G$205,MATCH($P175,'Opportunities'!$A$6:$A$205,0)),"")))</f>
        <v/>
      </c>
      <c r="V175" s="40">
        <f>IF($A175="","",IF($P175="","",IFERROR(INDEX('Opportunities'!$H$6:$H$205,MATCH($P175,'Opportunities'!$A$6:$A$205,0)),"")))</f>
        <v/>
      </c>
      <c r="W175" s="38">
        <f>IF($A175="","",IF($P175="","",IFERROR(INDEX('Opportunities'!$I$6:$I$205,MATCH($P175,'Opportunities'!$A$6:$A$205,0)),"")))</f>
        <v/>
      </c>
      <c r="X175" s="38">
        <f>IF($A175="","",IF($P175="","",IFERROR(INDEX('Opportunities'!$J$6:$J$205,MATCH($P175,'Opportunities'!$A$6:$A$205,0)),"")))</f>
        <v/>
      </c>
      <c r="Y175" s="70">
        <f>IF($A175="","",IF($P175="","",IFERROR(INDEX('Opportunities'!$K$6:$K$205,MATCH($P175,'Opportunities'!$A$6:$A$205,0)),"")))</f>
        <v/>
      </c>
      <c r="Z175" s="41">
        <f>IF($A175="","",IF($P175="","",IFERROR(INDEX('Opportunities'!$O$6:$O$205,MATCH($P175,'Opportunities'!$A$6:$A$205,0)),"")))</f>
        <v/>
      </c>
      <c r="AA175" s="41">
        <f>IF($A175="","",IF($P175="","",IFERROR(INDEX('Opportunities'!$P$6:$P$205,MATCH($P175,'Opportunities'!$A$6:$A$205,0)),"")))</f>
        <v/>
      </c>
      <c r="AB175" s="41">
        <f>IF($A175="","",IF($P175="","",IFERROR(INDEX('Opportunities'!$Q$6:$Q$205,MATCH($P175,'Opportunities'!$A$6:$A$205,0)),"")))</f>
        <v/>
      </c>
      <c r="AC175" s="71">
        <f>IF($A175="","",IF($P175="","",IFERROR(INDEX('Opportunities'!$Z$6:$Z$205,MATCH($P175,'Opportunities'!$A$6:$A$205,0)),"")))</f>
        <v/>
      </c>
      <c r="AD175" s="71">
        <f>IF($A175="","",IF($P175="","",IFERROR(INDEX('Opportunities'!$AJ$6:$AJ$205,MATCH($P175,'Opportunities'!$A$6:$A$205,0)),"")))</f>
        <v/>
      </c>
      <c r="AE175" s="72">
        <f>IF($A175="","",IF($P175="","",IFERROR(INDEX('Opportunities'!$AA$6:$AA$205,MATCH($P175,'Opportunities'!$A$6:$A$205,0)),"")))</f>
        <v/>
      </c>
      <c r="AF175" s="73">
        <f>IF($A175="","",IF($P175="","",IFERROR(INDEX('Opportunities'!$AF$6:$AF$205,MATCH($P175,'Opportunities'!$A$6:$A$205,0)),"")))</f>
        <v/>
      </c>
      <c r="AG175" s="41">
        <f>IF($A175="","",IF($P175="","",IFERROR(INDEX('Opportunities'!$AB$6:$AB$205,MATCH($P175,'Opportunities'!$A$6:$A$205,0)),"")))</f>
        <v/>
      </c>
      <c r="AH175" s="74">
        <f>IF($A175="","",IF($P175="","",IFERROR(($U175+$V175-$J175-$K175)*24,0)))</f>
        <v/>
      </c>
      <c r="AI175" s="38">
        <f>IF($A175="","",IF($P175="","No load selected",IF($AH175&lt;IFERROR($Z175/'Settings'!$B$11,0)+'Settings'!$B$12,"Too tight",IF($AH175&gt;'Settings'!$B$13,"Long wait","Feasible"))))</f>
        <v/>
      </c>
      <c r="AJ175" s="41">
        <f>IF($A175="","",IF($P175="","",$N175-$Z175-$AB175))</f>
        <v/>
      </c>
      <c r="AK175" s="38">
        <f>IF($A175="","",IF(COUNTIF($A$6:$A$205,$A175)&gt;1,"Duplicate Trip ID",IF($P175="","Open",IF(COUNTIF('Opportunities'!$A$6:$A$205,$P175)=0,"Load ID not found",IF(COUNTIFS('Opportunities'!$A$6:$A$205,$P175,'Opportunities'!$B$6:$B$205,$A175)=0,"Trip mismatch",IF(COUNTIF($P$6:$P$205,$P175)&gt;1,"Duplicate selection",IF(AND(OR($O175="Booked",$O175="Completed"),AND($Q175&lt;&gt;"Booked",$Q175&lt;&gt;"Completed")),"Status mismatch","OK")))))))</f>
        <v/>
      </c>
      <c r="AL175" s="46" t="n"/>
    </row>
    <row r="176">
      <c r="A176" s="34" t="n"/>
      <c r="B176" s="34" t="n"/>
      <c r="C176" s="34" t="n"/>
      <c r="D176" s="34" t="n"/>
      <c r="E176" s="34" t="n"/>
      <c r="F176" s="34" t="n"/>
      <c r="G176" s="34" t="n"/>
      <c r="H176" s="69" t="n"/>
      <c r="I176" s="36" t="n"/>
      <c r="J176" s="69" t="n"/>
      <c r="K176" s="36" t="n"/>
      <c r="L176" s="34" t="n"/>
      <c r="M176" s="34" t="n"/>
      <c r="N176" s="37" t="n"/>
      <c r="O176" s="34" t="n"/>
      <c r="P176" s="34" t="n"/>
      <c r="Q176" s="38">
        <f>IF($A176="","",IF($P176="","",IFERROR(INDEX('Opportunities'!$C$6:$C$205,MATCH($P176,'Opportunities'!$A$6:$A$205,0)),"")))</f>
        <v/>
      </c>
      <c r="R176" s="38">
        <f>IF($A176="","",IF($P176="","",IFERROR(INDEX('Opportunities'!$D$6:$D$205,MATCH($P176,'Opportunities'!$A$6:$A$205,0)),"")))</f>
        <v/>
      </c>
      <c r="S176" s="38">
        <f>IF($A176="","",IF($P176="","",IFERROR(INDEX('Opportunities'!$E$6:$E$205,MATCH($P176,'Opportunities'!$A$6:$A$205,0)),"")))</f>
        <v/>
      </c>
      <c r="T176" s="38">
        <f>IF($A176="","",IF($P176="","",IFERROR(INDEX('Opportunities'!$F$6:$F$205,MATCH($P176,'Opportunities'!$A$6:$A$205,0)),"")))</f>
        <v/>
      </c>
      <c r="U176" s="70">
        <f>IF($A176="","",IF($P176="","",IFERROR(INDEX('Opportunities'!$G$6:$G$205,MATCH($P176,'Opportunities'!$A$6:$A$205,0)),"")))</f>
        <v/>
      </c>
      <c r="V176" s="40">
        <f>IF($A176="","",IF($P176="","",IFERROR(INDEX('Opportunities'!$H$6:$H$205,MATCH($P176,'Opportunities'!$A$6:$A$205,0)),"")))</f>
        <v/>
      </c>
      <c r="W176" s="38">
        <f>IF($A176="","",IF($P176="","",IFERROR(INDEX('Opportunities'!$I$6:$I$205,MATCH($P176,'Opportunities'!$A$6:$A$205,0)),"")))</f>
        <v/>
      </c>
      <c r="X176" s="38">
        <f>IF($A176="","",IF($P176="","",IFERROR(INDEX('Opportunities'!$J$6:$J$205,MATCH($P176,'Opportunities'!$A$6:$A$205,0)),"")))</f>
        <v/>
      </c>
      <c r="Y176" s="70">
        <f>IF($A176="","",IF($P176="","",IFERROR(INDEX('Opportunities'!$K$6:$K$205,MATCH($P176,'Opportunities'!$A$6:$A$205,0)),"")))</f>
        <v/>
      </c>
      <c r="Z176" s="41">
        <f>IF($A176="","",IF($P176="","",IFERROR(INDEX('Opportunities'!$O$6:$O$205,MATCH($P176,'Opportunities'!$A$6:$A$205,0)),"")))</f>
        <v/>
      </c>
      <c r="AA176" s="41">
        <f>IF($A176="","",IF($P176="","",IFERROR(INDEX('Opportunities'!$P$6:$P$205,MATCH($P176,'Opportunities'!$A$6:$A$205,0)),"")))</f>
        <v/>
      </c>
      <c r="AB176" s="41">
        <f>IF($A176="","",IF($P176="","",IFERROR(INDEX('Opportunities'!$Q$6:$Q$205,MATCH($P176,'Opportunities'!$A$6:$A$205,0)),"")))</f>
        <v/>
      </c>
      <c r="AC176" s="71">
        <f>IF($A176="","",IF($P176="","",IFERROR(INDEX('Opportunities'!$Z$6:$Z$205,MATCH($P176,'Opportunities'!$A$6:$A$205,0)),"")))</f>
        <v/>
      </c>
      <c r="AD176" s="71">
        <f>IF($A176="","",IF($P176="","",IFERROR(INDEX('Opportunities'!$AJ$6:$AJ$205,MATCH($P176,'Opportunities'!$A$6:$A$205,0)),"")))</f>
        <v/>
      </c>
      <c r="AE176" s="72">
        <f>IF($A176="","",IF($P176="","",IFERROR(INDEX('Opportunities'!$AA$6:$AA$205,MATCH($P176,'Opportunities'!$A$6:$A$205,0)),"")))</f>
        <v/>
      </c>
      <c r="AF176" s="73">
        <f>IF($A176="","",IF($P176="","",IFERROR(INDEX('Opportunities'!$AF$6:$AF$205,MATCH($P176,'Opportunities'!$A$6:$A$205,0)),"")))</f>
        <v/>
      </c>
      <c r="AG176" s="41">
        <f>IF($A176="","",IF($P176="","",IFERROR(INDEX('Opportunities'!$AB$6:$AB$205,MATCH($P176,'Opportunities'!$A$6:$A$205,0)),"")))</f>
        <v/>
      </c>
      <c r="AH176" s="74">
        <f>IF($A176="","",IF($P176="","",IFERROR(($U176+$V176-$J176-$K176)*24,0)))</f>
        <v/>
      </c>
      <c r="AI176" s="38">
        <f>IF($A176="","",IF($P176="","No load selected",IF($AH176&lt;IFERROR($Z176/'Settings'!$B$11,0)+'Settings'!$B$12,"Too tight",IF($AH176&gt;'Settings'!$B$13,"Long wait","Feasible"))))</f>
        <v/>
      </c>
      <c r="AJ176" s="41">
        <f>IF($A176="","",IF($P176="","",$N176-$Z176-$AB176))</f>
        <v/>
      </c>
      <c r="AK176" s="38">
        <f>IF($A176="","",IF(COUNTIF($A$6:$A$205,$A176)&gt;1,"Duplicate Trip ID",IF($P176="","Open",IF(COUNTIF('Opportunities'!$A$6:$A$205,$P176)=0,"Load ID not found",IF(COUNTIFS('Opportunities'!$A$6:$A$205,$P176,'Opportunities'!$B$6:$B$205,$A176)=0,"Trip mismatch",IF(COUNTIF($P$6:$P$205,$P176)&gt;1,"Duplicate selection",IF(AND(OR($O176="Booked",$O176="Completed"),AND($Q176&lt;&gt;"Booked",$Q176&lt;&gt;"Completed")),"Status mismatch","OK")))))))</f>
        <v/>
      </c>
      <c r="AL176" s="46" t="n"/>
    </row>
    <row r="177">
      <c r="A177" s="34" t="n"/>
      <c r="B177" s="34" t="n"/>
      <c r="C177" s="34" t="n"/>
      <c r="D177" s="34" t="n"/>
      <c r="E177" s="34" t="n"/>
      <c r="F177" s="34" t="n"/>
      <c r="G177" s="34" t="n"/>
      <c r="H177" s="69" t="n"/>
      <c r="I177" s="36" t="n"/>
      <c r="J177" s="69" t="n"/>
      <c r="K177" s="36" t="n"/>
      <c r="L177" s="34" t="n"/>
      <c r="M177" s="34" t="n"/>
      <c r="N177" s="37" t="n"/>
      <c r="O177" s="34" t="n"/>
      <c r="P177" s="34" t="n"/>
      <c r="Q177" s="38">
        <f>IF($A177="","",IF($P177="","",IFERROR(INDEX('Opportunities'!$C$6:$C$205,MATCH($P177,'Opportunities'!$A$6:$A$205,0)),"")))</f>
        <v/>
      </c>
      <c r="R177" s="38">
        <f>IF($A177="","",IF($P177="","",IFERROR(INDEX('Opportunities'!$D$6:$D$205,MATCH($P177,'Opportunities'!$A$6:$A$205,0)),"")))</f>
        <v/>
      </c>
      <c r="S177" s="38">
        <f>IF($A177="","",IF($P177="","",IFERROR(INDEX('Opportunities'!$E$6:$E$205,MATCH($P177,'Opportunities'!$A$6:$A$205,0)),"")))</f>
        <v/>
      </c>
      <c r="T177" s="38">
        <f>IF($A177="","",IF($P177="","",IFERROR(INDEX('Opportunities'!$F$6:$F$205,MATCH($P177,'Opportunities'!$A$6:$A$205,0)),"")))</f>
        <v/>
      </c>
      <c r="U177" s="70">
        <f>IF($A177="","",IF($P177="","",IFERROR(INDEX('Opportunities'!$G$6:$G$205,MATCH($P177,'Opportunities'!$A$6:$A$205,0)),"")))</f>
        <v/>
      </c>
      <c r="V177" s="40">
        <f>IF($A177="","",IF($P177="","",IFERROR(INDEX('Opportunities'!$H$6:$H$205,MATCH($P177,'Opportunities'!$A$6:$A$205,0)),"")))</f>
        <v/>
      </c>
      <c r="W177" s="38">
        <f>IF($A177="","",IF($P177="","",IFERROR(INDEX('Opportunities'!$I$6:$I$205,MATCH($P177,'Opportunities'!$A$6:$A$205,0)),"")))</f>
        <v/>
      </c>
      <c r="X177" s="38">
        <f>IF($A177="","",IF($P177="","",IFERROR(INDEX('Opportunities'!$J$6:$J$205,MATCH($P177,'Opportunities'!$A$6:$A$205,0)),"")))</f>
        <v/>
      </c>
      <c r="Y177" s="70">
        <f>IF($A177="","",IF($P177="","",IFERROR(INDEX('Opportunities'!$K$6:$K$205,MATCH($P177,'Opportunities'!$A$6:$A$205,0)),"")))</f>
        <v/>
      </c>
      <c r="Z177" s="41">
        <f>IF($A177="","",IF($P177="","",IFERROR(INDEX('Opportunities'!$O$6:$O$205,MATCH($P177,'Opportunities'!$A$6:$A$205,0)),"")))</f>
        <v/>
      </c>
      <c r="AA177" s="41">
        <f>IF($A177="","",IF($P177="","",IFERROR(INDEX('Opportunities'!$P$6:$P$205,MATCH($P177,'Opportunities'!$A$6:$A$205,0)),"")))</f>
        <v/>
      </c>
      <c r="AB177" s="41">
        <f>IF($A177="","",IF($P177="","",IFERROR(INDEX('Opportunities'!$Q$6:$Q$205,MATCH($P177,'Opportunities'!$A$6:$A$205,0)),"")))</f>
        <v/>
      </c>
      <c r="AC177" s="71">
        <f>IF($A177="","",IF($P177="","",IFERROR(INDEX('Opportunities'!$Z$6:$Z$205,MATCH($P177,'Opportunities'!$A$6:$A$205,0)),"")))</f>
        <v/>
      </c>
      <c r="AD177" s="71">
        <f>IF($A177="","",IF($P177="","",IFERROR(INDEX('Opportunities'!$AJ$6:$AJ$205,MATCH($P177,'Opportunities'!$A$6:$A$205,0)),"")))</f>
        <v/>
      </c>
      <c r="AE177" s="72">
        <f>IF($A177="","",IF($P177="","",IFERROR(INDEX('Opportunities'!$AA$6:$AA$205,MATCH($P177,'Opportunities'!$A$6:$A$205,0)),"")))</f>
        <v/>
      </c>
      <c r="AF177" s="73">
        <f>IF($A177="","",IF($P177="","",IFERROR(INDEX('Opportunities'!$AF$6:$AF$205,MATCH($P177,'Opportunities'!$A$6:$A$205,0)),"")))</f>
        <v/>
      </c>
      <c r="AG177" s="41">
        <f>IF($A177="","",IF($P177="","",IFERROR(INDEX('Opportunities'!$AB$6:$AB$205,MATCH($P177,'Opportunities'!$A$6:$A$205,0)),"")))</f>
        <v/>
      </c>
      <c r="AH177" s="74">
        <f>IF($A177="","",IF($P177="","",IFERROR(($U177+$V177-$J177-$K177)*24,0)))</f>
        <v/>
      </c>
      <c r="AI177" s="38">
        <f>IF($A177="","",IF($P177="","No load selected",IF($AH177&lt;IFERROR($Z177/'Settings'!$B$11,0)+'Settings'!$B$12,"Too tight",IF($AH177&gt;'Settings'!$B$13,"Long wait","Feasible"))))</f>
        <v/>
      </c>
      <c r="AJ177" s="41">
        <f>IF($A177="","",IF($P177="","",$N177-$Z177-$AB177))</f>
        <v/>
      </c>
      <c r="AK177" s="38">
        <f>IF($A177="","",IF(COUNTIF($A$6:$A$205,$A177)&gt;1,"Duplicate Trip ID",IF($P177="","Open",IF(COUNTIF('Opportunities'!$A$6:$A$205,$P177)=0,"Load ID not found",IF(COUNTIFS('Opportunities'!$A$6:$A$205,$P177,'Opportunities'!$B$6:$B$205,$A177)=0,"Trip mismatch",IF(COUNTIF($P$6:$P$205,$P177)&gt;1,"Duplicate selection",IF(AND(OR($O177="Booked",$O177="Completed"),AND($Q177&lt;&gt;"Booked",$Q177&lt;&gt;"Completed")),"Status mismatch","OK")))))))</f>
        <v/>
      </c>
      <c r="AL177" s="46" t="n"/>
    </row>
    <row r="178">
      <c r="A178" s="34" t="n"/>
      <c r="B178" s="34" t="n"/>
      <c r="C178" s="34" t="n"/>
      <c r="D178" s="34" t="n"/>
      <c r="E178" s="34" t="n"/>
      <c r="F178" s="34" t="n"/>
      <c r="G178" s="34" t="n"/>
      <c r="H178" s="69" t="n"/>
      <c r="I178" s="36" t="n"/>
      <c r="J178" s="69" t="n"/>
      <c r="K178" s="36" t="n"/>
      <c r="L178" s="34" t="n"/>
      <c r="M178" s="34" t="n"/>
      <c r="N178" s="37" t="n"/>
      <c r="O178" s="34" t="n"/>
      <c r="P178" s="34" t="n"/>
      <c r="Q178" s="38">
        <f>IF($A178="","",IF($P178="","",IFERROR(INDEX('Opportunities'!$C$6:$C$205,MATCH($P178,'Opportunities'!$A$6:$A$205,0)),"")))</f>
        <v/>
      </c>
      <c r="R178" s="38">
        <f>IF($A178="","",IF($P178="","",IFERROR(INDEX('Opportunities'!$D$6:$D$205,MATCH($P178,'Opportunities'!$A$6:$A$205,0)),"")))</f>
        <v/>
      </c>
      <c r="S178" s="38">
        <f>IF($A178="","",IF($P178="","",IFERROR(INDEX('Opportunities'!$E$6:$E$205,MATCH($P178,'Opportunities'!$A$6:$A$205,0)),"")))</f>
        <v/>
      </c>
      <c r="T178" s="38">
        <f>IF($A178="","",IF($P178="","",IFERROR(INDEX('Opportunities'!$F$6:$F$205,MATCH($P178,'Opportunities'!$A$6:$A$205,0)),"")))</f>
        <v/>
      </c>
      <c r="U178" s="70">
        <f>IF($A178="","",IF($P178="","",IFERROR(INDEX('Opportunities'!$G$6:$G$205,MATCH($P178,'Opportunities'!$A$6:$A$205,0)),"")))</f>
        <v/>
      </c>
      <c r="V178" s="40">
        <f>IF($A178="","",IF($P178="","",IFERROR(INDEX('Opportunities'!$H$6:$H$205,MATCH($P178,'Opportunities'!$A$6:$A$205,0)),"")))</f>
        <v/>
      </c>
      <c r="W178" s="38">
        <f>IF($A178="","",IF($P178="","",IFERROR(INDEX('Opportunities'!$I$6:$I$205,MATCH($P178,'Opportunities'!$A$6:$A$205,0)),"")))</f>
        <v/>
      </c>
      <c r="X178" s="38">
        <f>IF($A178="","",IF($P178="","",IFERROR(INDEX('Opportunities'!$J$6:$J$205,MATCH($P178,'Opportunities'!$A$6:$A$205,0)),"")))</f>
        <v/>
      </c>
      <c r="Y178" s="70">
        <f>IF($A178="","",IF($P178="","",IFERROR(INDEX('Opportunities'!$K$6:$K$205,MATCH($P178,'Opportunities'!$A$6:$A$205,0)),"")))</f>
        <v/>
      </c>
      <c r="Z178" s="41">
        <f>IF($A178="","",IF($P178="","",IFERROR(INDEX('Opportunities'!$O$6:$O$205,MATCH($P178,'Opportunities'!$A$6:$A$205,0)),"")))</f>
        <v/>
      </c>
      <c r="AA178" s="41">
        <f>IF($A178="","",IF($P178="","",IFERROR(INDEX('Opportunities'!$P$6:$P$205,MATCH($P178,'Opportunities'!$A$6:$A$205,0)),"")))</f>
        <v/>
      </c>
      <c r="AB178" s="41">
        <f>IF($A178="","",IF($P178="","",IFERROR(INDEX('Opportunities'!$Q$6:$Q$205,MATCH($P178,'Opportunities'!$A$6:$A$205,0)),"")))</f>
        <v/>
      </c>
      <c r="AC178" s="71">
        <f>IF($A178="","",IF($P178="","",IFERROR(INDEX('Opportunities'!$Z$6:$Z$205,MATCH($P178,'Opportunities'!$A$6:$A$205,0)),"")))</f>
        <v/>
      </c>
      <c r="AD178" s="71">
        <f>IF($A178="","",IF($P178="","",IFERROR(INDEX('Opportunities'!$AJ$6:$AJ$205,MATCH($P178,'Opportunities'!$A$6:$A$205,0)),"")))</f>
        <v/>
      </c>
      <c r="AE178" s="72">
        <f>IF($A178="","",IF($P178="","",IFERROR(INDEX('Opportunities'!$AA$6:$AA$205,MATCH($P178,'Opportunities'!$A$6:$A$205,0)),"")))</f>
        <v/>
      </c>
      <c r="AF178" s="73">
        <f>IF($A178="","",IF($P178="","",IFERROR(INDEX('Opportunities'!$AF$6:$AF$205,MATCH($P178,'Opportunities'!$A$6:$A$205,0)),"")))</f>
        <v/>
      </c>
      <c r="AG178" s="41">
        <f>IF($A178="","",IF($P178="","",IFERROR(INDEX('Opportunities'!$AB$6:$AB$205,MATCH($P178,'Opportunities'!$A$6:$A$205,0)),"")))</f>
        <v/>
      </c>
      <c r="AH178" s="74">
        <f>IF($A178="","",IF($P178="","",IFERROR(($U178+$V178-$J178-$K178)*24,0)))</f>
        <v/>
      </c>
      <c r="AI178" s="38">
        <f>IF($A178="","",IF($P178="","No load selected",IF($AH178&lt;IFERROR($Z178/'Settings'!$B$11,0)+'Settings'!$B$12,"Too tight",IF($AH178&gt;'Settings'!$B$13,"Long wait","Feasible"))))</f>
        <v/>
      </c>
      <c r="AJ178" s="41">
        <f>IF($A178="","",IF($P178="","",$N178-$Z178-$AB178))</f>
        <v/>
      </c>
      <c r="AK178" s="38">
        <f>IF($A178="","",IF(COUNTIF($A$6:$A$205,$A178)&gt;1,"Duplicate Trip ID",IF($P178="","Open",IF(COUNTIF('Opportunities'!$A$6:$A$205,$P178)=0,"Load ID not found",IF(COUNTIFS('Opportunities'!$A$6:$A$205,$P178,'Opportunities'!$B$6:$B$205,$A178)=0,"Trip mismatch",IF(COUNTIF($P$6:$P$205,$P178)&gt;1,"Duplicate selection",IF(AND(OR($O178="Booked",$O178="Completed"),AND($Q178&lt;&gt;"Booked",$Q178&lt;&gt;"Completed")),"Status mismatch","OK")))))))</f>
        <v/>
      </c>
      <c r="AL178" s="46" t="n"/>
    </row>
    <row r="179">
      <c r="A179" s="34" t="n"/>
      <c r="B179" s="34" t="n"/>
      <c r="C179" s="34" t="n"/>
      <c r="D179" s="34" t="n"/>
      <c r="E179" s="34" t="n"/>
      <c r="F179" s="34" t="n"/>
      <c r="G179" s="34" t="n"/>
      <c r="H179" s="69" t="n"/>
      <c r="I179" s="36" t="n"/>
      <c r="J179" s="69" t="n"/>
      <c r="K179" s="36" t="n"/>
      <c r="L179" s="34" t="n"/>
      <c r="M179" s="34" t="n"/>
      <c r="N179" s="37" t="n"/>
      <c r="O179" s="34" t="n"/>
      <c r="P179" s="34" t="n"/>
      <c r="Q179" s="38">
        <f>IF($A179="","",IF($P179="","",IFERROR(INDEX('Opportunities'!$C$6:$C$205,MATCH($P179,'Opportunities'!$A$6:$A$205,0)),"")))</f>
        <v/>
      </c>
      <c r="R179" s="38">
        <f>IF($A179="","",IF($P179="","",IFERROR(INDEX('Opportunities'!$D$6:$D$205,MATCH($P179,'Opportunities'!$A$6:$A$205,0)),"")))</f>
        <v/>
      </c>
      <c r="S179" s="38">
        <f>IF($A179="","",IF($P179="","",IFERROR(INDEX('Opportunities'!$E$6:$E$205,MATCH($P179,'Opportunities'!$A$6:$A$205,0)),"")))</f>
        <v/>
      </c>
      <c r="T179" s="38">
        <f>IF($A179="","",IF($P179="","",IFERROR(INDEX('Opportunities'!$F$6:$F$205,MATCH($P179,'Opportunities'!$A$6:$A$205,0)),"")))</f>
        <v/>
      </c>
      <c r="U179" s="70">
        <f>IF($A179="","",IF($P179="","",IFERROR(INDEX('Opportunities'!$G$6:$G$205,MATCH($P179,'Opportunities'!$A$6:$A$205,0)),"")))</f>
        <v/>
      </c>
      <c r="V179" s="40">
        <f>IF($A179="","",IF($P179="","",IFERROR(INDEX('Opportunities'!$H$6:$H$205,MATCH($P179,'Opportunities'!$A$6:$A$205,0)),"")))</f>
        <v/>
      </c>
      <c r="W179" s="38">
        <f>IF($A179="","",IF($P179="","",IFERROR(INDEX('Opportunities'!$I$6:$I$205,MATCH($P179,'Opportunities'!$A$6:$A$205,0)),"")))</f>
        <v/>
      </c>
      <c r="X179" s="38">
        <f>IF($A179="","",IF($P179="","",IFERROR(INDEX('Opportunities'!$J$6:$J$205,MATCH($P179,'Opportunities'!$A$6:$A$205,0)),"")))</f>
        <v/>
      </c>
      <c r="Y179" s="70">
        <f>IF($A179="","",IF($P179="","",IFERROR(INDEX('Opportunities'!$K$6:$K$205,MATCH($P179,'Opportunities'!$A$6:$A$205,0)),"")))</f>
        <v/>
      </c>
      <c r="Z179" s="41">
        <f>IF($A179="","",IF($P179="","",IFERROR(INDEX('Opportunities'!$O$6:$O$205,MATCH($P179,'Opportunities'!$A$6:$A$205,0)),"")))</f>
        <v/>
      </c>
      <c r="AA179" s="41">
        <f>IF($A179="","",IF($P179="","",IFERROR(INDEX('Opportunities'!$P$6:$P$205,MATCH($P179,'Opportunities'!$A$6:$A$205,0)),"")))</f>
        <v/>
      </c>
      <c r="AB179" s="41">
        <f>IF($A179="","",IF($P179="","",IFERROR(INDEX('Opportunities'!$Q$6:$Q$205,MATCH($P179,'Opportunities'!$A$6:$A$205,0)),"")))</f>
        <v/>
      </c>
      <c r="AC179" s="71">
        <f>IF($A179="","",IF($P179="","",IFERROR(INDEX('Opportunities'!$Z$6:$Z$205,MATCH($P179,'Opportunities'!$A$6:$A$205,0)),"")))</f>
        <v/>
      </c>
      <c r="AD179" s="71">
        <f>IF($A179="","",IF($P179="","",IFERROR(INDEX('Opportunities'!$AJ$6:$AJ$205,MATCH($P179,'Opportunities'!$A$6:$A$205,0)),"")))</f>
        <v/>
      </c>
      <c r="AE179" s="72">
        <f>IF($A179="","",IF($P179="","",IFERROR(INDEX('Opportunities'!$AA$6:$AA$205,MATCH($P179,'Opportunities'!$A$6:$A$205,0)),"")))</f>
        <v/>
      </c>
      <c r="AF179" s="73">
        <f>IF($A179="","",IF($P179="","",IFERROR(INDEX('Opportunities'!$AF$6:$AF$205,MATCH($P179,'Opportunities'!$A$6:$A$205,0)),"")))</f>
        <v/>
      </c>
      <c r="AG179" s="41">
        <f>IF($A179="","",IF($P179="","",IFERROR(INDEX('Opportunities'!$AB$6:$AB$205,MATCH($P179,'Opportunities'!$A$6:$A$205,0)),"")))</f>
        <v/>
      </c>
      <c r="AH179" s="74">
        <f>IF($A179="","",IF($P179="","",IFERROR(($U179+$V179-$J179-$K179)*24,0)))</f>
        <v/>
      </c>
      <c r="AI179" s="38">
        <f>IF($A179="","",IF($P179="","No load selected",IF($AH179&lt;IFERROR($Z179/'Settings'!$B$11,0)+'Settings'!$B$12,"Too tight",IF($AH179&gt;'Settings'!$B$13,"Long wait","Feasible"))))</f>
        <v/>
      </c>
      <c r="AJ179" s="41">
        <f>IF($A179="","",IF($P179="","",$N179-$Z179-$AB179))</f>
        <v/>
      </c>
      <c r="AK179" s="38">
        <f>IF($A179="","",IF(COUNTIF($A$6:$A$205,$A179)&gt;1,"Duplicate Trip ID",IF($P179="","Open",IF(COUNTIF('Opportunities'!$A$6:$A$205,$P179)=0,"Load ID not found",IF(COUNTIFS('Opportunities'!$A$6:$A$205,$P179,'Opportunities'!$B$6:$B$205,$A179)=0,"Trip mismatch",IF(COUNTIF($P$6:$P$205,$P179)&gt;1,"Duplicate selection",IF(AND(OR($O179="Booked",$O179="Completed"),AND($Q179&lt;&gt;"Booked",$Q179&lt;&gt;"Completed")),"Status mismatch","OK")))))))</f>
        <v/>
      </c>
      <c r="AL179" s="46" t="n"/>
    </row>
    <row r="180">
      <c r="A180" s="34" t="n"/>
      <c r="B180" s="34" t="n"/>
      <c r="C180" s="34" t="n"/>
      <c r="D180" s="34" t="n"/>
      <c r="E180" s="34" t="n"/>
      <c r="F180" s="34" t="n"/>
      <c r="G180" s="34" t="n"/>
      <c r="H180" s="69" t="n"/>
      <c r="I180" s="36" t="n"/>
      <c r="J180" s="69" t="n"/>
      <c r="K180" s="36" t="n"/>
      <c r="L180" s="34" t="n"/>
      <c r="M180" s="34" t="n"/>
      <c r="N180" s="37" t="n"/>
      <c r="O180" s="34" t="n"/>
      <c r="P180" s="34" t="n"/>
      <c r="Q180" s="38">
        <f>IF($A180="","",IF($P180="","",IFERROR(INDEX('Opportunities'!$C$6:$C$205,MATCH($P180,'Opportunities'!$A$6:$A$205,0)),"")))</f>
        <v/>
      </c>
      <c r="R180" s="38">
        <f>IF($A180="","",IF($P180="","",IFERROR(INDEX('Opportunities'!$D$6:$D$205,MATCH($P180,'Opportunities'!$A$6:$A$205,0)),"")))</f>
        <v/>
      </c>
      <c r="S180" s="38">
        <f>IF($A180="","",IF($P180="","",IFERROR(INDEX('Opportunities'!$E$6:$E$205,MATCH($P180,'Opportunities'!$A$6:$A$205,0)),"")))</f>
        <v/>
      </c>
      <c r="T180" s="38">
        <f>IF($A180="","",IF($P180="","",IFERROR(INDEX('Opportunities'!$F$6:$F$205,MATCH($P180,'Opportunities'!$A$6:$A$205,0)),"")))</f>
        <v/>
      </c>
      <c r="U180" s="70">
        <f>IF($A180="","",IF($P180="","",IFERROR(INDEX('Opportunities'!$G$6:$G$205,MATCH($P180,'Opportunities'!$A$6:$A$205,0)),"")))</f>
        <v/>
      </c>
      <c r="V180" s="40">
        <f>IF($A180="","",IF($P180="","",IFERROR(INDEX('Opportunities'!$H$6:$H$205,MATCH($P180,'Opportunities'!$A$6:$A$205,0)),"")))</f>
        <v/>
      </c>
      <c r="W180" s="38">
        <f>IF($A180="","",IF($P180="","",IFERROR(INDEX('Opportunities'!$I$6:$I$205,MATCH($P180,'Opportunities'!$A$6:$A$205,0)),"")))</f>
        <v/>
      </c>
      <c r="X180" s="38">
        <f>IF($A180="","",IF($P180="","",IFERROR(INDEX('Opportunities'!$J$6:$J$205,MATCH($P180,'Opportunities'!$A$6:$A$205,0)),"")))</f>
        <v/>
      </c>
      <c r="Y180" s="70">
        <f>IF($A180="","",IF($P180="","",IFERROR(INDEX('Opportunities'!$K$6:$K$205,MATCH($P180,'Opportunities'!$A$6:$A$205,0)),"")))</f>
        <v/>
      </c>
      <c r="Z180" s="41">
        <f>IF($A180="","",IF($P180="","",IFERROR(INDEX('Opportunities'!$O$6:$O$205,MATCH($P180,'Opportunities'!$A$6:$A$205,0)),"")))</f>
        <v/>
      </c>
      <c r="AA180" s="41">
        <f>IF($A180="","",IF($P180="","",IFERROR(INDEX('Opportunities'!$P$6:$P$205,MATCH($P180,'Opportunities'!$A$6:$A$205,0)),"")))</f>
        <v/>
      </c>
      <c r="AB180" s="41">
        <f>IF($A180="","",IF($P180="","",IFERROR(INDEX('Opportunities'!$Q$6:$Q$205,MATCH($P180,'Opportunities'!$A$6:$A$205,0)),"")))</f>
        <v/>
      </c>
      <c r="AC180" s="71">
        <f>IF($A180="","",IF($P180="","",IFERROR(INDEX('Opportunities'!$Z$6:$Z$205,MATCH($P180,'Opportunities'!$A$6:$A$205,0)),"")))</f>
        <v/>
      </c>
      <c r="AD180" s="71">
        <f>IF($A180="","",IF($P180="","",IFERROR(INDEX('Opportunities'!$AJ$6:$AJ$205,MATCH($P180,'Opportunities'!$A$6:$A$205,0)),"")))</f>
        <v/>
      </c>
      <c r="AE180" s="72">
        <f>IF($A180="","",IF($P180="","",IFERROR(INDEX('Opportunities'!$AA$6:$AA$205,MATCH($P180,'Opportunities'!$A$6:$A$205,0)),"")))</f>
        <v/>
      </c>
      <c r="AF180" s="73">
        <f>IF($A180="","",IF($P180="","",IFERROR(INDEX('Opportunities'!$AF$6:$AF$205,MATCH($P180,'Opportunities'!$A$6:$A$205,0)),"")))</f>
        <v/>
      </c>
      <c r="AG180" s="41">
        <f>IF($A180="","",IF($P180="","",IFERROR(INDEX('Opportunities'!$AB$6:$AB$205,MATCH($P180,'Opportunities'!$A$6:$A$205,0)),"")))</f>
        <v/>
      </c>
      <c r="AH180" s="74">
        <f>IF($A180="","",IF($P180="","",IFERROR(($U180+$V180-$J180-$K180)*24,0)))</f>
        <v/>
      </c>
      <c r="AI180" s="38">
        <f>IF($A180="","",IF($P180="","No load selected",IF($AH180&lt;IFERROR($Z180/'Settings'!$B$11,0)+'Settings'!$B$12,"Too tight",IF($AH180&gt;'Settings'!$B$13,"Long wait","Feasible"))))</f>
        <v/>
      </c>
      <c r="AJ180" s="41">
        <f>IF($A180="","",IF($P180="","",$N180-$Z180-$AB180))</f>
        <v/>
      </c>
      <c r="AK180" s="38">
        <f>IF($A180="","",IF(COUNTIF($A$6:$A$205,$A180)&gt;1,"Duplicate Trip ID",IF($P180="","Open",IF(COUNTIF('Opportunities'!$A$6:$A$205,$P180)=0,"Load ID not found",IF(COUNTIFS('Opportunities'!$A$6:$A$205,$P180,'Opportunities'!$B$6:$B$205,$A180)=0,"Trip mismatch",IF(COUNTIF($P$6:$P$205,$P180)&gt;1,"Duplicate selection",IF(AND(OR($O180="Booked",$O180="Completed"),AND($Q180&lt;&gt;"Booked",$Q180&lt;&gt;"Completed")),"Status mismatch","OK")))))))</f>
        <v/>
      </c>
      <c r="AL180" s="46" t="n"/>
    </row>
    <row r="181">
      <c r="A181" s="34" t="n"/>
      <c r="B181" s="34" t="n"/>
      <c r="C181" s="34" t="n"/>
      <c r="D181" s="34" t="n"/>
      <c r="E181" s="34" t="n"/>
      <c r="F181" s="34" t="n"/>
      <c r="G181" s="34" t="n"/>
      <c r="H181" s="69" t="n"/>
      <c r="I181" s="36" t="n"/>
      <c r="J181" s="69" t="n"/>
      <c r="K181" s="36" t="n"/>
      <c r="L181" s="34" t="n"/>
      <c r="M181" s="34" t="n"/>
      <c r="N181" s="37" t="n"/>
      <c r="O181" s="34" t="n"/>
      <c r="P181" s="34" t="n"/>
      <c r="Q181" s="38">
        <f>IF($A181="","",IF($P181="","",IFERROR(INDEX('Opportunities'!$C$6:$C$205,MATCH($P181,'Opportunities'!$A$6:$A$205,0)),"")))</f>
        <v/>
      </c>
      <c r="R181" s="38">
        <f>IF($A181="","",IF($P181="","",IFERROR(INDEX('Opportunities'!$D$6:$D$205,MATCH($P181,'Opportunities'!$A$6:$A$205,0)),"")))</f>
        <v/>
      </c>
      <c r="S181" s="38">
        <f>IF($A181="","",IF($P181="","",IFERROR(INDEX('Opportunities'!$E$6:$E$205,MATCH($P181,'Opportunities'!$A$6:$A$205,0)),"")))</f>
        <v/>
      </c>
      <c r="T181" s="38">
        <f>IF($A181="","",IF($P181="","",IFERROR(INDEX('Opportunities'!$F$6:$F$205,MATCH($P181,'Opportunities'!$A$6:$A$205,0)),"")))</f>
        <v/>
      </c>
      <c r="U181" s="70">
        <f>IF($A181="","",IF($P181="","",IFERROR(INDEX('Opportunities'!$G$6:$G$205,MATCH($P181,'Opportunities'!$A$6:$A$205,0)),"")))</f>
        <v/>
      </c>
      <c r="V181" s="40">
        <f>IF($A181="","",IF($P181="","",IFERROR(INDEX('Opportunities'!$H$6:$H$205,MATCH($P181,'Opportunities'!$A$6:$A$205,0)),"")))</f>
        <v/>
      </c>
      <c r="W181" s="38">
        <f>IF($A181="","",IF($P181="","",IFERROR(INDEX('Opportunities'!$I$6:$I$205,MATCH($P181,'Opportunities'!$A$6:$A$205,0)),"")))</f>
        <v/>
      </c>
      <c r="X181" s="38">
        <f>IF($A181="","",IF($P181="","",IFERROR(INDEX('Opportunities'!$J$6:$J$205,MATCH($P181,'Opportunities'!$A$6:$A$205,0)),"")))</f>
        <v/>
      </c>
      <c r="Y181" s="70">
        <f>IF($A181="","",IF($P181="","",IFERROR(INDEX('Opportunities'!$K$6:$K$205,MATCH($P181,'Opportunities'!$A$6:$A$205,0)),"")))</f>
        <v/>
      </c>
      <c r="Z181" s="41">
        <f>IF($A181="","",IF($P181="","",IFERROR(INDEX('Opportunities'!$O$6:$O$205,MATCH($P181,'Opportunities'!$A$6:$A$205,0)),"")))</f>
        <v/>
      </c>
      <c r="AA181" s="41">
        <f>IF($A181="","",IF($P181="","",IFERROR(INDEX('Opportunities'!$P$6:$P$205,MATCH($P181,'Opportunities'!$A$6:$A$205,0)),"")))</f>
        <v/>
      </c>
      <c r="AB181" s="41">
        <f>IF($A181="","",IF($P181="","",IFERROR(INDEX('Opportunities'!$Q$6:$Q$205,MATCH($P181,'Opportunities'!$A$6:$A$205,0)),"")))</f>
        <v/>
      </c>
      <c r="AC181" s="71">
        <f>IF($A181="","",IF($P181="","",IFERROR(INDEX('Opportunities'!$Z$6:$Z$205,MATCH($P181,'Opportunities'!$A$6:$A$205,0)),"")))</f>
        <v/>
      </c>
      <c r="AD181" s="71">
        <f>IF($A181="","",IF($P181="","",IFERROR(INDEX('Opportunities'!$AJ$6:$AJ$205,MATCH($P181,'Opportunities'!$A$6:$A$205,0)),"")))</f>
        <v/>
      </c>
      <c r="AE181" s="72">
        <f>IF($A181="","",IF($P181="","",IFERROR(INDEX('Opportunities'!$AA$6:$AA$205,MATCH($P181,'Opportunities'!$A$6:$A$205,0)),"")))</f>
        <v/>
      </c>
      <c r="AF181" s="73">
        <f>IF($A181="","",IF($P181="","",IFERROR(INDEX('Opportunities'!$AF$6:$AF$205,MATCH($P181,'Opportunities'!$A$6:$A$205,0)),"")))</f>
        <v/>
      </c>
      <c r="AG181" s="41">
        <f>IF($A181="","",IF($P181="","",IFERROR(INDEX('Opportunities'!$AB$6:$AB$205,MATCH($P181,'Opportunities'!$A$6:$A$205,0)),"")))</f>
        <v/>
      </c>
      <c r="AH181" s="74">
        <f>IF($A181="","",IF($P181="","",IFERROR(($U181+$V181-$J181-$K181)*24,0)))</f>
        <v/>
      </c>
      <c r="AI181" s="38">
        <f>IF($A181="","",IF($P181="","No load selected",IF($AH181&lt;IFERROR($Z181/'Settings'!$B$11,0)+'Settings'!$B$12,"Too tight",IF($AH181&gt;'Settings'!$B$13,"Long wait","Feasible"))))</f>
        <v/>
      </c>
      <c r="AJ181" s="41">
        <f>IF($A181="","",IF($P181="","",$N181-$Z181-$AB181))</f>
        <v/>
      </c>
      <c r="AK181" s="38">
        <f>IF($A181="","",IF(COUNTIF($A$6:$A$205,$A181)&gt;1,"Duplicate Trip ID",IF($P181="","Open",IF(COUNTIF('Opportunities'!$A$6:$A$205,$P181)=0,"Load ID not found",IF(COUNTIFS('Opportunities'!$A$6:$A$205,$P181,'Opportunities'!$B$6:$B$205,$A181)=0,"Trip mismatch",IF(COUNTIF($P$6:$P$205,$P181)&gt;1,"Duplicate selection",IF(AND(OR($O181="Booked",$O181="Completed"),AND($Q181&lt;&gt;"Booked",$Q181&lt;&gt;"Completed")),"Status mismatch","OK")))))))</f>
        <v/>
      </c>
      <c r="AL181" s="46" t="n"/>
    </row>
    <row r="182">
      <c r="A182" s="34" t="n"/>
      <c r="B182" s="34" t="n"/>
      <c r="C182" s="34" t="n"/>
      <c r="D182" s="34" t="n"/>
      <c r="E182" s="34" t="n"/>
      <c r="F182" s="34" t="n"/>
      <c r="G182" s="34" t="n"/>
      <c r="H182" s="69" t="n"/>
      <c r="I182" s="36" t="n"/>
      <c r="J182" s="69" t="n"/>
      <c r="K182" s="36" t="n"/>
      <c r="L182" s="34" t="n"/>
      <c r="M182" s="34" t="n"/>
      <c r="N182" s="37" t="n"/>
      <c r="O182" s="34" t="n"/>
      <c r="P182" s="34" t="n"/>
      <c r="Q182" s="38">
        <f>IF($A182="","",IF($P182="","",IFERROR(INDEX('Opportunities'!$C$6:$C$205,MATCH($P182,'Opportunities'!$A$6:$A$205,0)),"")))</f>
        <v/>
      </c>
      <c r="R182" s="38">
        <f>IF($A182="","",IF($P182="","",IFERROR(INDEX('Opportunities'!$D$6:$D$205,MATCH($P182,'Opportunities'!$A$6:$A$205,0)),"")))</f>
        <v/>
      </c>
      <c r="S182" s="38">
        <f>IF($A182="","",IF($P182="","",IFERROR(INDEX('Opportunities'!$E$6:$E$205,MATCH($P182,'Opportunities'!$A$6:$A$205,0)),"")))</f>
        <v/>
      </c>
      <c r="T182" s="38">
        <f>IF($A182="","",IF($P182="","",IFERROR(INDEX('Opportunities'!$F$6:$F$205,MATCH($P182,'Opportunities'!$A$6:$A$205,0)),"")))</f>
        <v/>
      </c>
      <c r="U182" s="70">
        <f>IF($A182="","",IF($P182="","",IFERROR(INDEX('Opportunities'!$G$6:$G$205,MATCH($P182,'Opportunities'!$A$6:$A$205,0)),"")))</f>
        <v/>
      </c>
      <c r="V182" s="40">
        <f>IF($A182="","",IF($P182="","",IFERROR(INDEX('Opportunities'!$H$6:$H$205,MATCH($P182,'Opportunities'!$A$6:$A$205,0)),"")))</f>
        <v/>
      </c>
      <c r="W182" s="38">
        <f>IF($A182="","",IF($P182="","",IFERROR(INDEX('Opportunities'!$I$6:$I$205,MATCH($P182,'Opportunities'!$A$6:$A$205,0)),"")))</f>
        <v/>
      </c>
      <c r="X182" s="38">
        <f>IF($A182="","",IF($P182="","",IFERROR(INDEX('Opportunities'!$J$6:$J$205,MATCH($P182,'Opportunities'!$A$6:$A$205,0)),"")))</f>
        <v/>
      </c>
      <c r="Y182" s="70">
        <f>IF($A182="","",IF($P182="","",IFERROR(INDEX('Opportunities'!$K$6:$K$205,MATCH($P182,'Opportunities'!$A$6:$A$205,0)),"")))</f>
        <v/>
      </c>
      <c r="Z182" s="41">
        <f>IF($A182="","",IF($P182="","",IFERROR(INDEX('Opportunities'!$O$6:$O$205,MATCH($P182,'Opportunities'!$A$6:$A$205,0)),"")))</f>
        <v/>
      </c>
      <c r="AA182" s="41">
        <f>IF($A182="","",IF($P182="","",IFERROR(INDEX('Opportunities'!$P$6:$P$205,MATCH($P182,'Opportunities'!$A$6:$A$205,0)),"")))</f>
        <v/>
      </c>
      <c r="AB182" s="41">
        <f>IF($A182="","",IF($P182="","",IFERROR(INDEX('Opportunities'!$Q$6:$Q$205,MATCH($P182,'Opportunities'!$A$6:$A$205,0)),"")))</f>
        <v/>
      </c>
      <c r="AC182" s="71">
        <f>IF($A182="","",IF($P182="","",IFERROR(INDEX('Opportunities'!$Z$6:$Z$205,MATCH($P182,'Opportunities'!$A$6:$A$205,0)),"")))</f>
        <v/>
      </c>
      <c r="AD182" s="71">
        <f>IF($A182="","",IF($P182="","",IFERROR(INDEX('Opportunities'!$AJ$6:$AJ$205,MATCH($P182,'Opportunities'!$A$6:$A$205,0)),"")))</f>
        <v/>
      </c>
      <c r="AE182" s="72">
        <f>IF($A182="","",IF($P182="","",IFERROR(INDEX('Opportunities'!$AA$6:$AA$205,MATCH($P182,'Opportunities'!$A$6:$A$205,0)),"")))</f>
        <v/>
      </c>
      <c r="AF182" s="73">
        <f>IF($A182="","",IF($P182="","",IFERROR(INDEX('Opportunities'!$AF$6:$AF$205,MATCH($P182,'Opportunities'!$A$6:$A$205,0)),"")))</f>
        <v/>
      </c>
      <c r="AG182" s="41">
        <f>IF($A182="","",IF($P182="","",IFERROR(INDEX('Opportunities'!$AB$6:$AB$205,MATCH($P182,'Opportunities'!$A$6:$A$205,0)),"")))</f>
        <v/>
      </c>
      <c r="AH182" s="74">
        <f>IF($A182="","",IF($P182="","",IFERROR(($U182+$V182-$J182-$K182)*24,0)))</f>
        <v/>
      </c>
      <c r="AI182" s="38">
        <f>IF($A182="","",IF($P182="","No load selected",IF($AH182&lt;IFERROR($Z182/'Settings'!$B$11,0)+'Settings'!$B$12,"Too tight",IF($AH182&gt;'Settings'!$B$13,"Long wait","Feasible"))))</f>
        <v/>
      </c>
      <c r="AJ182" s="41">
        <f>IF($A182="","",IF($P182="","",$N182-$Z182-$AB182))</f>
        <v/>
      </c>
      <c r="AK182" s="38">
        <f>IF($A182="","",IF(COUNTIF($A$6:$A$205,$A182)&gt;1,"Duplicate Trip ID",IF($P182="","Open",IF(COUNTIF('Opportunities'!$A$6:$A$205,$P182)=0,"Load ID not found",IF(COUNTIFS('Opportunities'!$A$6:$A$205,$P182,'Opportunities'!$B$6:$B$205,$A182)=0,"Trip mismatch",IF(COUNTIF($P$6:$P$205,$P182)&gt;1,"Duplicate selection",IF(AND(OR($O182="Booked",$O182="Completed"),AND($Q182&lt;&gt;"Booked",$Q182&lt;&gt;"Completed")),"Status mismatch","OK")))))))</f>
        <v/>
      </c>
      <c r="AL182" s="46" t="n"/>
    </row>
    <row r="183">
      <c r="A183" s="34" t="n"/>
      <c r="B183" s="34" t="n"/>
      <c r="C183" s="34" t="n"/>
      <c r="D183" s="34" t="n"/>
      <c r="E183" s="34" t="n"/>
      <c r="F183" s="34" t="n"/>
      <c r="G183" s="34" t="n"/>
      <c r="H183" s="69" t="n"/>
      <c r="I183" s="36" t="n"/>
      <c r="J183" s="69" t="n"/>
      <c r="K183" s="36" t="n"/>
      <c r="L183" s="34" t="n"/>
      <c r="M183" s="34" t="n"/>
      <c r="N183" s="37" t="n"/>
      <c r="O183" s="34" t="n"/>
      <c r="P183" s="34" t="n"/>
      <c r="Q183" s="38">
        <f>IF($A183="","",IF($P183="","",IFERROR(INDEX('Opportunities'!$C$6:$C$205,MATCH($P183,'Opportunities'!$A$6:$A$205,0)),"")))</f>
        <v/>
      </c>
      <c r="R183" s="38">
        <f>IF($A183="","",IF($P183="","",IFERROR(INDEX('Opportunities'!$D$6:$D$205,MATCH($P183,'Opportunities'!$A$6:$A$205,0)),"")))</f>
        <v/>
      </c>
      <c r="S183" s="38">
        <f>IF($A183="","",IF($P183="","",IFERROR(INDEX('Opportunities'!$E$6:$E$205,MATCH($P183,'Opportunities'!$A$6:$A$205,0)),"")))</f>
        <v/>
      </c>
      <c r="T183" s="38">
        <f>IF($A183="","",IF($P183="","",IFERROR(INDEX('Opportunities'!$F$6:$F$205,MATCH($P183,'Opportunities'!$A$6:$A$205,0)),"")))</f>
        <v/>
      </c>
      <c r="U183" s="70">
        <f>IF($A183="","",IF($P183="","",IFERROR(INDEX('Opportunities'!$G$6:$G$205,MATCH($P183,'Opportunities'!$A$6:$A$205,0)),"")))</f>
        <v/>
      </c>
      <c r="V183" s="40">
        <f>IF($A183="","",IF($P183="","",IFERROR(INDEX('Opportunities'!$H$6:$H$205,MATCH($P183,'Opportunities'!$A$6:$A$205,0)),"")))</f>
        <v/>
      </c>
      <c r="W183" s="38">
        <f>IF($A183="","",IF($P183="","",IFERROR(INDEX('Opportunities'!$I$6:$I$205,MATCH($P183,'Opportunities'!$A$6:$A$205,0)),"")))</f>
        <v/>
      </c>
      <c r="X183" s="38">
        <f>IF($A183="","",IF($P183="","",IFERROR(INDEX('Opportunities'!$J$6:$J$205,MATCH($P183,'Opportunities'!$A$6:$A$205,0)),"")))</f>
        <v/>
      </c>
      <c r="Y183" s="70">
        <f>IF($A183="","",IF($P183="","",IFERROR(INDEX('Opportunities'!$K$6:$K$205,MATCH($P183,'Opportunities'!$A$6:$A$205,0)),"")))</f>
        <v/>
      </c>
      <c r="Z183" s="41">
        <f>IF($A183="","",IF($P183="","",IFERROR(INDEX('Opportunities'!$O$6:$O$205,MATCH($P183,'Opportunities'!$A$6:$A$205,0)),"")))</f>
        <v/>
      </c>
      <c r="AA183" s="41">
        <f>IF($A183="","",IF($P183="","",IFERROR(INDEX('Opportunities'!$P$6:$P$205,MATCH($P183,'Opportunities'!$A$6:$A$205,0)),"")))</f>
        <v/>
      </c>
      <c r="AB183" s="41">
        <f>IF($A183="","",IF($P183="","",IFERROR(INDEX('Opportunities'!$Q$6:$Q$205,MATCH($P183,'Opportunities'!$A$6:$A$205,0)),"")))</f>
        <v/>
      </c>
      <c r="AC183" s="71">
        <f>IF($A183="","",IF($P183="","",IFERROR(INDEX('Opportunities'!$Z$6:$Z$205,MATCH($P183,'Opportunities'!$A$6:$A$205,0)),"")))</f>
        <v/>
      </c>
      <c r="AD183" s="71">
        <f>IF($A183="","",IF($P183="","",IFERROR(INDEX('Opportunities'!$AJ$6:$AJ$205,MATCH($P183,'Opportunities'!$A$6:$A$205,0)),"")))</f>
        <v/>
      </c>
      <c r="AE183" s="72">
        <f>IF($A183="","",IF($P183="","",IFERROR(INDEX('Opportunities'!$AA$6:$AA$205,MATCH($P183,'Opportunities'!$A$6:$A$205,0)),"")))</f>
        <v/>
      </c>
      <c r="AF183" s="73">
        <f>IF($A183="","",IF($P183="","",IFERROR(INDEX('Opportunities'!$AF$6:$AF$205,MATCH($P183,'Opportunities'!$A$6:$A$205,0)),"")))</f>
        <v/>
      </c>
      <c r="AG183" s="41">
        <f>IF($A183="","",IF($P183="","",IFERROR(INDEX('Opportunities'!$AB$6:$AB$205,MATCH($P183,'Opportunities'!$A$6:$A$205,0)),"")))</f>
        <v/>
      </c>
      <c r="AH183" s="74">
        <f>IF($A183="","",IF($P183="","",IFERROR(($U183+$V183-$J183-$K183)*24,0)))</f>
        <v/>
      </c>
      <c r="AI183" s="38">
        <f>IF($A183="","",IF($P183="","No load selected",IF($AH183&lt;IFERROR($Z183/'Settings'!$B$11,0)+'Settings'!$B$12,"Too tight",IF($AH183&gt;'Settings'!$B$13,"Long wait","Feasible"))))</f>
        <v/>
      </c>
      <c r="AJ183" s="41">
        <f>IF($A183="","",IF($P183="","",$N183-$Z183-$AB183))</f>
        <v/>
      </c>
      <c r="AK183" s="38">
        <f>IF($A183="","",IF(COUNTIF($A$6:$A$205,$A183)&gt;1,"Duplicate Trip ID",IF($P183="","Open",IF(COUNTIF('Opportunities'!$A$6:$A$205,$P183)=0,"Load ID not found",IF(COUNTIFS('Opportunities'!$A$6:$A$205,$P183,'Opportunities'!$B$6:$B$205,$A183)=0,"Trip mismatch",IF(COUNTIF($P$6:$P$205,$P183)&gt;1,"Duplicate selection",IF(AND(OR($O183="Booked",$O183="Completed"),AND($Q183&lt;&gt;"Booked",$Q183&lt;&gt;"Completed")),"Status mismatch","OK")))))))</f>
        <v/>
      </c>
      <c r="AL183" s="46" t="n"/>
    </row>
    <row r="184">
      <c r="A184" s="34" t="n"/>
      <c r="B184" s="34" t="n"/>
      <c r="C184" s="34" t="n"/>
      <c r="D184" s="34" t="n"/>
      <c r="E184" s="34" t="n"/>
      <c r="F184" s="34" t="n"/>
      <c r="G184" s="34" t="n"/>
      <c r="H184" s="69" t="n"/>
      <c r="I184" s="36" t="n"/>
      <c r="J184" s="69" t="n"/>
      <c r="K184" s="36" t="n"/>
      <c r="L184" s="34" t="n"/>
      <c r="M184" s="34" t="n"/>
      <c r="N184" s="37" t="n"/>
      <c r="O184" s="34" t="n"/>
      <c r="P184" s="34" t="n"/>
      <c r="Q184" s="38">
        <f>IF($A184="","",IF($P184="","",IFERROR(INDEX('Opportunities'!$C$6:$C$205,MATCH($P184,'Opportunities'!$A$6:$A$205,0)),"")))</f>
        <v/>
      </c>
      <c r="R184" s="38">
        <f>IF($A184="","",IF($P184="","",IFERROR(INDEX('Opportunities'!$D$6:$D$205,MATCH($P184,'Opportunities'!$A$6:$A$205,0)),"")))</f>
        <v/>
      </c>
      <c r="S184" s="38">
        <f>IF($A184="","",IF($P184="","",IFERROR(INDEX('Opportunities'!$E$6:$E$205,MATCH($P184,'Opportunities'!$A$6:$A$205,0)),"")))</f>
        <v/>
      </c>
      <c r="T184" s="38">
        <f>IF($A184="","",IF($P184="","",IFERROR(INDEX('Opportunities'!$F$6:$F$205,MATCH($P184,'Opportunities'!$A$6:$A$205,0)),"")))</f>
        <v/>
      </c>
      <c r="U184" s="70">
        <f>IF($A184="","",IF($P184="","",IFERROR(INDEX('Opportunities'!$G$6:$G$205,MATCH($P184,'Opportunities'!$A$6:$A$205,0)),"")))</f>
        <v/>
      </c>
      <c r="V184" s="40">
        <f>IF($A184="","",IF($P184="","",IFERROR(INDEX('Opportunities'!$H$6:$H$205,MATCH($P184,'Opportunities'!$A$6:$A$205,0)),"")))</f>
        <v/>
      </c>
      <c r="W184" s="38">
        <f>IF($A184="","",IF($P184="","",IFERROR(INDEX('Opportunities'!$I$6:$I$205,MATCH($P184,'Opportunities'!$A$6:$A$205,0)),"")))</f>
        <v/>
      </c>
      <c r="X184" s="38">
        <f>IF($A184="","",IF($P184="","",IFERROR(INDEX('Opportunities'!$J$6:$J$205,MATCH($P184,'Opportunities'!$A$6:$A$205,0)),"")))</f>
        <v/>
      </c>
      <c r="Y184" s="70">
        <f>IF($A184="","",IF($P184="","",IFERROR(INDEX('Opportunities'!$K$6:$K$205,MATCH($P184,'Opportunities'!$A$6:$A$205,0)),"")))</f>
        <v/>
      </c>
      <c r="Z184" s="41">
        <f>IF($A184="","",IF($P184="","",IFERROR(INDEX('Opportunities'!$O$6:$O$205,MATCH($P184,'Opportunities'!$A$6:$A$205,0)),"")))</f>
        <v/>
      </c>
      <c r="AA184" s="41">
        <f>IF($A184="","",IF($P184="","",IFERROR(INDEX('Opportunities'!$P$6:$P$205,MATCH($P184,'Opportunities'!$A$6:$A$205,0)),"")))</f>
        <v/>
      </c>
      <c r="AB184" s="41">
        <f>IF($A184="","",IF($P184="","",IFERROR(INDEX('Opportunities'!$Q$6:$Q$205,MATCH($P184,'Opportunities'!$A$6:$A$205,0)),"")))</f>
        <v/>
      </c>
      <c r="AC184" s="71">
        <f>IF($A184="","",IF($P184="","",IFERROR(INDEX('Opportunities'!$Z$6:$Z$205,MATCH($P184,'Opportunities'!$A$6:$A$205,0)),"")))</f>
        <v/>
      </c>
      <c r="AD184" s="71">
        <f>IF($A184="","",IF($P184="","",IFERROR(INDEX('Opportunities'!$AJ$6:$AJ$205,MATCH($P184,'Opportunities'!$A$6:$A$205,0)),"")))</f>
        <v/>
      </c>
      <c r="AE184" s="72">
        <f>IF($A184="","",IF($P184="","",IFERROR(INDEX('Opportunities'!$AA$6:$AA$205,MATCH($P184,'Opportunities'!$A$6:$A$205,0)),"")))</f>
        <v/>
      </c>
      <c r="AF184" s="73">
        <f>IF($A184="","",IF($P184="","",IFERROR(INDEX('Opportunities'!$AF$6:$AF$205,MATCH($P184,'Opportunities'!$A$6:$A$205,0)),"")))</f>
        <v/>
      </c>
      <c r="AG184" s="41">
        <f>IF($A184="","",IF($P184="","",IFERROR(INDEX('Opportunities'!$AB$6:$AB$205,MATCH($P184,'Opportunities'!$A$6:$A$205,0)),"")))</f>
        <v/>
      </c>
      <c r="AH184" s="74">
        <f>IF($A184="","",IF($P184="","",IFERROR(($U184+$V184-$J184-$K184)*24,0)))</f>
        <v/>
      </c>
      <c r="AI184" s="38">
        <f>IF($A184="","",IF($P184="","No load selected",IF($AH184&lt;IFERROR($Z184/'Settings'!$B$11,0)+'Settings'!$B$12,"Too tight",IF($AH184&gt;'Settings'!$B$13,"Long wait","Feasible"))))</f>
        <v/>
      </c>
      <c r="AJ184" s="41">
        <f>IF($A184="","",IF($P184="","",$N184-$Z184-$AB184))</f>
        <v/>
      </c>
      <c r="AK184" s="38">
        <f>IF($A184="","",IF(COUNTIF($A$6:$A$205,$A184)&gt;1,"Duplicate Trip ID",IF($P184="","Open",IF(COUNTIF('Opportunities'!$A$6:$A$205,$P184)=0,"Load ID not found",IF(COUNTIFS('Opportunities'!$A$6:$A$205,$P184,'Opportunities'!$B$6:$B$205,$A184)=0,"Trip mismatch",IF(COUNTIF($P$6:$P$205,$P184)&gt;1,"Duplicate selection",IF(AND(OR($O184="Booked",$O184="Completed"),AND($Q184&lt;&gt;"Booked",$Q184&lt;&gt;"Completed")),"Status mismatch","OK")))))))</f>
        <v/>
      </c>
      <c r="AL184" s="46" t="n"/>
    </row>
    <row r="185">
      <c r="A185" s="34" t="n"/>
      <c r="B185" s="34" t="n"/>
      <c r="C185" s="34" t="n"/>
      <c r="D185" s="34" t="n"/>
      <c r="E185" s="34" t="n"/>
      <c r="F185" s="34" t="n"/>
      <c r="G185" s="34" t="n"/>
      <c r="H185" s="69" t="n"/>
      <c r="I185" s="36" t="n"/>
      <c r="J185" s="69" t="n"/>
      <c r="K185" s="36" t="n"/>
      <c r="L185" s="34" t="n"/>
      <c r="M185" s="34" t="n"/>
      <c r="N185" s="37" t="n"/>
      <c r="O185" s="34" t="n"/>
      <c r="P185" s="34" t="n"/>
      <c r="Q185" s="38">
        <f>IF($A185="","",IF($P185="","",IFERROR(INDEX('Opportunities'!$C$6:$C$205,MATCH($P185,'Opportunities'!$A$6:$A$205,0)),"")))</f>
        <v/>
      </c>
      <c r="R185" s="38">
        <f>IF($A185="","",IF($P185="","",IFERROR(INDEX('Opportunities'!$D$6:$D$205,MATCH($P185,'Opportunities'!$A$6:$A$205,0)),"")))</f>
        <v/>
      </c>
      <c r="S185" s="38">
        <f>IF($A185="","",IF($P185="","",IFERROR(INDEX('Opportunities'!$E$6:$E$205,MATCH($P185,'Opportunities'!$A$6:$A$205,0)),"")))</f>
        <v/>
      </c>
      <c r="T185" s="38">
        <f>IF($A185="","",IF($P185="","",IFERROR(INDEX('Opportunities'!$F$6:$F$205,MATCH($P185,'Opportunities'!$A$6:$A$205,0)),"")))</f>
        <v/>
      </c>
      <c r="U185" s="70">
        <f>IF($A185="","",IF($P185="","",IFERROR(INDEX('Opportunities'!$G$6:$G$205,MATCH($P185,'Opportunities'!$A$6:$A$205,0)),"")))</f>
        <v/>
      </c>
      <c r="V185" s="40">
        <f>IF($A185="","",IF($P185="","",IFERROR(INDEX('Opportunities'!$H$6:$H$205,MATCH($P185,'Opportunities'!$A$6:$A$205,0)),"")))</f>
        <v/>
      </c>
      <c r="W185" s="38">
        <f>IF($A185="","",IF($P185="","",IFERROR(INDEX('Opportunities'!$I$6:$I$205,MATCH($P185,'Opportunities'!$A$6:$A$205,0)),"")))</f>
        <v/>
      </c>
      <c r="X185" s="38">
        <f>IF($A185="","",IF($P185="","",IFERROR(INDEX('Opportunities'!$J$6:$J$205,MATCH($P185,'Opportunities'!$A$6:$A$205,0)),"")))</f>
        <v/>
      </c>
      <c r="Y185" s="70">
        <f>IF($A185="","",IF($P185="","",IFERROR(INDEX('Opportunities'!$K$6:$K$205,MATCH($P185,'Opportunities'!$A$6:$A$205,0)),"")))</f>
        <v/>
      </c>
      <c r="Z185" s="41">
        <f>IF($A185="","",IF($P185="","",IFERROR(INDEX('Opportunities'!$O$6:$O$205,MATCH($P185,'Opportunities'!$A$6:$A$205,0)),"")))</f>
        <v/>
      </c>
      <c r="AA185" s="41">
        <f>IF($A185="","",IF($P185="","",IFERROR(INDEX('Opportunities'!$P$6:$P$205,MATCH($P185,'Opportunities'!$A$6:$A$205,0)),"")))</f>
        <v/>
      </c>
      <c r="AB185" s="41">
        <f>IF($A185="","",IF($P185="","",IFERROR(INDEX('Opportunities'!$Q$6:$Q$205,MATCH($P185,'Opportunities'!$A$6:$A$205,0)),"")))</f>
        <v/>
      </c>
      <c r="AC185" s="71">
        <f>IF($A185="","",IF($P185="","",IFERROR(INDEX('Opportunities'!$Z$6:$Z$205,MATCH($P185,'Opportunities'!$A$6:$A$205,0)),"")))</f>
        <v/>
      </c>
      <c r="AD185" s="71">
        <f>IF($A185="","",IF($P185="","",IFERROR(INDEX('Opportunities'!$AJ$6:$AJ$205,MATCH($P185,'Opportunities'!$A$6:$A$205,0)),"")))</f>
        <v/>
      </c>
      <c r="AE185" s="72">
        <f>IF($A185="","",IF($P185="","",IFERROR(INDEX('Opportunities'!$AA$6:$AA$205,MATCH($P185,'Opportunities'!$A$6:$A$205,0)),"")))</f>
        <v/>
      </c>
      <c r="AF185" s="73">
        <f>IF($A185="","",IF($P185="","",IFERROR(INDEX('Opportunities'!$AF$6:$AF$205,MATCH($P185,'Opportunities'!$A$6:$A$205,0)),"")))</f>
        <v/>
      </c>
      <c r="AG185" s="41">
        <f>IF($A185="","",IF($P185="","",IFERROR(INDEX('Opportunities'!$AB$6:$AB$205,MATCH($P185,'Opportunities'!$A$6:$A$205,0)),"")))</f>
        <v/>
      </c>
      <c r="AH185" s="74">
        <f>IF($A185="","",IF($P185="","",IFERROR(($U185+$V185-$J185-$K185)*24,0)))</f>
        <v/>
      </c>
      <c r="AI185" s="38">
        <f>IF($A185="","",IF($P185="","No load selected",IF($AH185&lt;IFERROR($Z185/'Settings'!$B$11,0)+'Settings'!$B$12,"Too tight",IF($AH185&gt;'Settings'!$B$13,"Long wait","Feasible"))))</f>
        <v/>
      </c>
      <c r="AJ185" s="41">
        <f>IF($A185="","",IF($P185="","",$N185-$Z185-$AB185))</f>
        <v/>
      </c>
      <c r="AK185" s="38">
        <f>IF($A185="","",IF(COUNTIF($A$6:$A$205,$A185)&gt;1,"Duplicate Trip ID",IF($P185="","Open",IF(COUNTIF('Opportunities'!$A$6:$A$205,$P185)=0,"Load ID not found",IF(COUNTIFS('Opportunities'!$A$6:$A$205,$P185,'Opportunities'!$B$6:$B$205,$A185)=0,"Trip mismatch",IF(COUNTIF($P$6:$P$205,$P185)&gt;1,"Duplicate selection",IF(AND(OR($O185="Booked",$O185="Completed"),AND($Q185&lt;&gt;"Booked",$Q185&lt;&gt;"Completed")),"Status mismatch","OK")))))))</f>
        <v/>
      </c>
      <c r="AL185" s="46" t="n"/>
    </row>
    <row r="186">
      <c r="A186" s="34" t="n"/>
      <c r="B186" s="34" t="n"/>
      <c r="C186" s="34" t="n"/>
      <c r="D186" s="34" t="n"/>
      <c r="E186" s="34" t="n"/>
      <c r="F186" s="34" t="n"/>
      <c r="G186" s="34" t="n"/>
      <c r="H186" s="69" t="n"/>
      <c r="I186" s="36" t="n"/>
      <c r="J186" s="69" t="n"/>
      <c r="K186" s="36" t="n"/>
      <c r="L186" s="34" t="n"/>
      <c r="M186" s="34" t="n"/>
      <c r="N186" s="37" t="n"/>
      <c r="O186" s="34" t="n"/>
      <c r="P186" s="34" t="n"/>
      <c r="Q186" s="38">
        <f>IF($A186="","",IF($P186="","",IFERROR(INDEX('Opportunities'!$C$6:$C$205,MATCH($P186,'Opportunities'!$A$6:$A$205,0)),"")))</f>
        <v/>
      </c>
      <c r="R186" s="38">
        <f>IF($A186="","",IF($P186="","",IFERROR(INDEX('Opportunities'!$D$6:$D$205,MATCH($P186,'Opportunities'!$A$6:$A$205,0)),"")))</f>
        <v/>
      </c>
      <c r="S186" s="38">
        <f>IF($A186="","",IF($P186="","",IFERROR(INDEX('Opportunities'!$E$6:$E$205,MATCH($P186,'Opportunities'!$A$6:$A$205,0)),"")))</f>
        <v/>
      </c>
      <c r="T186" s="38">
        <f>IF($A186="","",IF($P186="","",IFERROR(INDEX('Opportunities'!$F$6:$F$205,MATCH($P186,'Opportunities'!$A$6:$A$205,0)),"")))</f>
        <v/>
      </c>
      <c r="U186" s="70">
        <f>IF($A186="","",IF($P186="","",IFERROR(INDEX('Opportunities'!$G$6:$G$205,MATCH($P186,'Opportunities'!$A$6:$A$205,0)),"")))</f>
        <v/>
      </c>
      <c r="V186" s="40">
        <f>IF($A186="","",IF($P186="","",IFERROR(INDEX('Opportunities'!$H$6:$H$205,MATCH($P186,'Opportunities'!$A$6:$A$205,0)),"")))</f>
        <v/>
      </c>
      <c r="W186" s="38">
        <f>IF($A186="","",IF($P186="","",IFERROR(INDEX('Opportunities'!$I$6:$I$205,MATCH($P186,'Opportunities'!$A$6:$A$205,0)),"")))</f>
        <v/>
      </c>
      <c r="X186" s="38">
        <f>IF($A186="","",IF($P186="","",IFERROR(INDEX('Opportunities'!$J$6:$J$205,MATCH($P186,'Opportunities'!$A$6:$A$205,0)),"")))</f>
        <v/>
      </c>
      <c r="Y186" s="70">
        <f>IF($A186="","",IF($P186="","",IFERROR(INDEX('Opportunities'!$K$6:$K$205,MATCH($P186,'Opportunities'!$A$6:$A$205,0)),"")))</f>
        <v/>
      </c>
      <c r="Z186" s="41">
        <f>IF($A186="","",IF($P186="","",IFERROR(INDEX('Opportunities'!$O$6:$O$205,MATCH($P186,'Opportunities'!$A$6:$A$205,0)),"")))</f>
        <v/>
      </c>
      <c r="AA186" s="41">
        <f>IF($A186="","",IF($P186="","",IFERROR(INDEX('Opportunities'!$P$6:$P$205,MATCH($P186,'Opportunities'!$A$6:$A$205,0)),"")))</f>
        <v/>
      </c>
      <c r="AB186" s="41">
        <f>IF($A186="","",IF($P186="","",IFERROR(INDEX('Opportunities'!$Q$6:$Q$205,MATCH($P186,'Opportunities'!$A$6:$A$205,0)),"")))</f>
        <v/>
      </c>
      <c r="AC186" s="71">
        <f>IF($A186="","",IF($P186="","",IFERROR(INDEX('Opportunities'!$Z$6:$Z$205,MATCH($P186,'Opportunities'!$A$6:$A$205,0)),"")))</f>
        <v/>
      </c>
      <c r="AD186" s="71">
        <f>IF($A186="","",IF($P186="","",IFERROR(INDEX('Opportunities'!$AJ$6:$AJ$205,MATCH($P186,'Opportunities'!$A$6:$A$205,0)),"")))</f>
        <v/>
      </c>
      <c r="AE186" s="72">
        <f>IF($A186="","",IF($P186="","",IFERROR(INDEX('Opportunities'!$AA$6:$AA$205,MATCH($P186,'Opportunities'!$A$6:$A$205,0)),"")))</f>
        <v/>
      </c>
      <c r="AF186" s="73">
        <f>IF($A186="","",IF($P186="","",IFERROR(INDEX('Opportunities'!$AF$6:$AF$205,MATCH($P186,'Opportunities'!$A$6:$A$205,0)),"")))</f>
        <v/>
      </c>
      <c r="AG186" s="41">
        <f>IF($A186="","",IF($P186="","",IFERROR(INDEX('Opportunities'!$AB$6:$AB$205,MATCH($P186,'Opportunities'!$A$6:$A$205,0)),"")))</f>
        <v/>
      </c>
      <c r="AH186" s="74">
        <f>IF($A186="","",IF($P186="","",IFERROR(($U186+$V186-$J186-$K186)*24,0)))</f>
        <v/>
      </c>
      <c r="AI186" s="38">
        <f>IF($A186="","",IF($P186="","No load selected",IF($AH186&lt;IFERROR($Z186/'Settings'!$B$11,0)+'Settings'!$B$12,"Too tight",IF($AH186&gt;'Settings'!$B$13,"Long wait","Feasible"))))</f>
        <v/>
      </c>
      <c r="AJ186" s="41">
        <f>IF($A186="","",IF($P186="","",$N186-$Z186-$AB186))</f>
        <v/>
      </c>
      <c r="AK186" s="38">
        <f>IF($A186="","",IF(COUNTIF($A$6:$A$205,$A186)&gt;1,"Duplicate Trip ID",IF($P186="","Open",IF(COUNTIF('Opportunities'!$A$6:$A$205,$P186)=0,"Load ID not found",IF(COUNTIFS('Opportunities'!$A$6:$A$205,$P186,'Opportunities'!$B$6:$B$205,$A186)=0,"Trip mismatch",IF(COUNTIF($P$6:$P$205,$P186)&gt;1,"Duplicate selection",IF(AND(OR($O186="Booked",$O186="Completed"),AND($Q186&lt;&gt;"Booked",$Q186&lt;&gt;"Completed")),"Status mismatch","OK")))))))</f>
        <v/>
      </c>
      <c r="AL186" s="46" t="n"/>
    </row>
    <row r="187">
      <c r="A187" s="34" t="n"/>
      <c r="B187" s="34" t="n"/>
      <c r="C187" s="34" t="n"/>
      <c r="D187" s="34" t="n"/>
      <c r="E187" s="34" t="n"/>
      <c r="F187" s="34" t="n"/>
      <c r="G187" s="34" t="n"/>
      <c r="H187" s="69" t="n"/>
      <c r="I187" s="36" t="n"/>
      <c r="J187" s="69" t="n"/>
      <c r="K187" s="36" t="n"/>
      <c r="L187" s="34" t="n"/>
      <c r="M187" s="34" t="n"/>
      <c r="N187" s="37" t="n"/>
      <c r="O187" s="34" t="n"/>
      <c r="P187" s="34" t="n"/>
      <c r="Q187" s="38">
        <f>IF($A187="","",IF($P187="","",IFERROR(INDEX('Opportunities'!$C$6:$C$205,MATCH($P187,'Opportunities'!$A$6:$A$205,0)),"")))</f>
        <v/>
      </c>
      <c r="R187" s="38">
        <f>IF($A187="","",IF($P187="","",IFERROR(INDEX('Opportunities'!$D$6:$D$205,MATCH($P187,'Opportunities'!$A$6:$A$205,0)),"")))</f>
        <v/>
      </c>
      <c r="S187" s="38">
        <f>IF($A187="","",IF($P187="","",IFERROR(INDEX('Opportunities'!$E$6:$E$205,MATCH($P187,'Opportunities'!$A$6:$A$205,0)),"")))</f>
        <v/>
      </c>
      <c r="T187" s="38">
        <f>IF($A187="","",IF($P187="","",IFERROR(INDEX('Opportunities'!$F$6:$F$205,MATCH($P187,'Opportunities'!$A$6:$A$205,0)),"")))</f>
        <v/>
      </c>
      <c r="U187" s="70">
        <f>IF($A187="","",IF($P187="","",IFERROR(INDEX('Opportunities'!$G$6:$G$205,MATCH($P187,'Opportunities'!$A$6:$A$205,0)),"")))</f>
        <v/>
      </c>
      <c r="V187" s="40">
        <f>IF($A187="","",IF($P187="","",IFERROR(INDEX('Opportunities'!$H$6:$H$205,MATCH($P187,'Opportunities'!$A$6:$A$205,0)),"")))</f>
        <v/>
      </c>
      <c r="W187" s="38">
        <f>IF($A187="","",IF($P187="","",IFERROR(INDEX('Opportunities'!$I$6:$I$205,MATCH($P187,'Opportunities'!$A$6:$A$205,0)),"")))</f>
        <v/>
      </c>
      <c r="X187" s="38">
        <f>IF($A187="","",IF($P187="","",IFERROR(INDEX('Opportunities'!$J$6:$J$205,MATCH($P187,'Opportunities'!$A$6:$A$205,0)),"")))</f>
        <v/>
      </c>
      <c r="Y187" s="70">
        <f>IF($A187="","",IF($P187="","",IFERROR(INDEX('Opportunities'!$K$6:$K$205,MATCH($P187,'Opportunities'!$A$6:$A$205,0)),"")))</f>
        <v/>
      </c>
      <c r="Z187" s="41">
        <f>IF($A187="","",IF($P187="","",IFERROR(INDEX('Opportunities'!$O$6:$O$205,MATCH($P187,'Opportunities'!$A$6:$A$205,0)),"")))</f>
        <v/>
      </c>
      <c r="AA187" s="41">
        <f>IF($A187="","",IF($P187="","",IFERROR(INDEX('Opportunities'!$P$6:$P$205,MATCH($P187,'Opportunities'!$A$6:$A$205,0)),"")))</f>
        <v/>
      </c>
      <c r="AB187" s="41">
        <f>IF($A187="","",IF($P187="","",IFERROR(INDEX('Opportunities'!$Q$6:$Q$205,MATCH($P187,'Opportunities'!$A$6:$A$205,0)),"")))</f>
        <v/>
      </c>
      <c r="AC187" s="71">
        <f>IF($A187="","",IF($P187="","",IFERROR(INDEX('Opportunities'!$Z$6:$Z$205,MATCH($P187,'Opportunities'!$A$6:$A$205,0)),"")))</f>
        <v/>
      </c>
      <c r="AD187" s="71">
        <f>IF($A187="","",IF($P187="","",IFERROR(INDEX('Opportunities'!$AJ$6:$AJ$205,MATCH($P187,'Opportunities'!$A$6:$A$205,0)),"")))</f>
        <v/>
      </c>
      <c r="AE187" s="72">
        <f>IF($A187="","",IF($P187="","",IFERROR(INDEX('Opportunities'!$AA$6:$AA$205,MATCH($P187,'Opportunities'!$A$6:$A$205,0)),"")))</f>
        <v/>
      </c>
      <c r="AF187" s="73">
        <f>IF($A187="","",IF($P187="","",IFERROR(INDEX('Opportunities'!$AF$6:$AF$205,MATCH($P187,'Opportunities'!$A$6:$A$205,0)),"")))</f>
        <v/>
      </c>
      <c r="AG187" s="41">
        <f>IF($A187="","",IF($P187="","",IFERROR(INDEX('Opportunities'!$AB$6:$AB$205,MATCH($P187,'Opportunities'!$A$6:$A$205,0)),"")))</f>
        <v/>
      </c>
      <c r="AH187" s="74">
        <f>IF($A187="","",IF($P187="","",IFERROR(($U187+$V187-$J187-$K187)*24,0)))</f>
        <v/>
      </c>
      <c r="AI187" s="38">
        <f>IF($A187="","",IF($P187="","No load selected",IF($AH187&lt;IFERROR($Z187/'Settings'!$B$11,0)+'Settings'!$B$12,"Too tight",IF($AH187&gt;'Settings'!$B$13,"Long wait","Feasible"))))</f>
        <v/>
      </c>
      <c r="AJ187" s="41">
        <f>IF($A187="","",IF($P187="","",$N187-$Z187-$AB187))</f>
        <v/>
      </c>
      <c r="AK187" s="38">
        <f>IF($A187="","",IF(COUNTIF($A$6:$A$205,$A187)&gt;1,"Duplicate Trip ID",IF($P187="","Open",IF(COUNTIF('Opportunities'!$A$6:$A$205,$P187)=0,"Load ID not found",IF(COUNTIFS('Opportunities'!$A$6:$A$205,$P187,'Opportunities'!$B$6:$B$205,$A187)=0,"Trip mismatch",IF(COUNTIF($P$6:$P$205,$P187)&gt;1,"Duplicate selection",IF(AND(OR($O187="Booked",$O187="Completed"),AND($Q187&lt;&gt;"Booked",$Q187&lt;&gt;"Completed")),"Status mismatch","OK")))))))</f>
        <v/>
      </c>
      <c r="AL187" s="46" t="n"/>
    </row>
    <row r="188">
      <c r="A188" s="34" t="n"/>
      <c r="B188" s="34" t="n"/>
      <c r="C188" s="34" t="n"/>
      <c r="D188" s="34" t="n"/>
      <c r="E188" s="34" t="n"/>
      <c r="F188" s="34" t="n"/>
      <c r="G188" s="34" t="n"/>
      <c r="H188" s="69" t="n"/>
      <c r="I188" s="36" t="n"/>
      <c r="J188" s="69" t="n"/>
      <c r="K188" s="36" t="n"/>
      <c r="L188" s="34" t="n"/>
      <c r="M188" s="34" t="n"/>
      <c r="N188" s="37" t="n"/>
      <c r="O188" s="34" t="n"/>
      <c r="P188" s="34" t="n"/>
      <c r="Q188" s="38">
        <f>IF($A188="","",IF($P188="","",IFERROR(INDEX('Opportunities'!$C$6:$C$205,MATCH($P188,'Opportunities'!$A$6:$A$205,0)),"")))</f>
        <v/>
      </c>
      <c r="R188" s="38">
        <f>IF($A188="","",IF($P188="","",IFERROR(INDEX('Opportunities'!$D$6:$D$205,MATCH($P188,'Opportunities'!$A$6:$A$205,0)),"")))</f>
        <v/>
      </c>
      <c r="S188" s="38">
        <f>IF($A188="","",IF($P188="","",IFERROR(INDEX('Opportunities'!$E$6:$E$205,MATCH($P188,'Opportunities'!$A$6:$A$205,0)),"")))</f>
        <v/>
      </c>
      <c r="T188" s="38">
        <f>IF($A188="","",IF($P188="","",IFERROR(INDEX('Opportunities'!$F$6:$F$205,MATCH($P188,'Opportunities'!$A$6:$A$205,0)),"")))</f>
        <v/>
      </c>
      <c r="U188" s="70">
        <f>IF($A188="","",IF($P188="","",IFERROR(INDEX('Opportunities'!$G$6:$G$205,MATCH($P188,'Opportunities'!$A$6:$A$205,0)),"")))</f>
        <v/>
      </c>
      <c r="V188" s="40">
        <f>IF($A188="","",IF($P188="","",IFERROR(INDEX('Opportunities'!$H$6:$H$205,MATCH($P188,'Opportunities'!$A$6:$A$205,0)),"")))</f>
        <v/>
      </c>
      <c r="W188" s="38">
        <f>IF($A188="","",IF($P188="","",IFERROR(INDEX('Opportunities'!$I$6:$I$205,MATCH($P188,'Opportunities'!$A$6:$A$205,0)),"")))</f>
        <v/>
      </c>
      <c r="X188" s="38">
        <f>IF($A188="","",IF($P188="","",IFERROR(INDEX('Opportunities'!$J$6:$J$205,MATCH($P188,'Opportunities'!$A$6:$A$205,0)),"")))</f>
        <v/>
      </c>
      <c r="Y188" s="70">
        <f>IF($A188="","",IF($P188="","",IFERROR(INDEX('Opportunities'!$K$6:$K$205,MATCH($P188,'Opportunities'!$A$6:$A$205,0)),"")))</f>
        <v/>
      </c>
      <c r="Z188" s="41">
        <f>IF($A188="","",IF($P188="","",IFERROR(INDEX('Opportunities'!$O$6:$O$205,MATCH($P188,'Opportunities'!$A$6:$A$205,0)),"")))</f>
        <v/>
      </c>
      <c r="AA188" s="41">
        <f>IF($A188="","",IF($P188="","",IFERROR(INDEX('Opportunities'!$P$6:$P$205,MATCH($P188,'Opportunities'!$A$6:$A$205,0)),"")))</f>
        <v/>
      </c>
      <c r="AB188" s="41">
        <f>IF($A188="","",IF($P188="","",IFERROR(INDEX('Opportunities'!$Q$6:$Q$205,MATCH($P188,'Opportunities'!$A$6:$A$205,0)),"")))</f>
        <v/>
      </c>
      <c r="AC188" s="71">
        <f>IF($A188="","",IF($P188="","",IFERROR(INDEX('Opportunities'!$Z$6:$Z$205,MATCH($P188,'Opportunities'!$A$6:$A$205,0)),"")))</f>
        <v/>
      </c>
      <c r="AD188" s="71">
        <f>IF($A188="","",IF($P188="","",IFERROR(INDEX('Opportunities'!$AJ$6:$AJ$205,MATCH($P188,'Opportunities'!$A$6:$A$205,0)),"")))</f>
        <v/>
      </c>
      <c r="AE188" s="72">
        <f>IF($A188="","",IF($P188="","",IFERROR(INDEX('Opportunities'!$AA$6:$AA$205,MATCH($P188,'Opportunities'!$A$6:$A$205,0)),"")))</f>
        <v/>
      </c>
      <c r="AF188" s="73">
        <f>IF($A188="","",IF($P188="","",IFERROR(INDEX('Opportunities'!$AF$6:$AF$205,MATCH($P188,'Opportunities'!$A$6:$A$205,0)),"")))</f>
        <v/>
      </c>
      <c r="AG188" s="41">
        <f>IF($A188="","",IF($P188="","",IFERROR(INDEX('Opportunities'!$AB$6:$AB$205,MATCH($P188,'Opportunities'!$A$6:$A$205,0)),"")))</f>
        <v/>
      </c>
      <c r="AH188" s="74">
        <f>IF($A188="","",IF($P188="","",IFERROR(($U188+$V188-$J188-$K188)*24,0)))</f>
        <v/>
      </c>
      <c r="AI188" s="38">
        <f>IF($A188="","",IF($P188="","No load selected",IF($AH188&lt;IFERROR($Z188/'Settings'!$B$11,0)+'Settings'!$B$12,"Too tight",IF($AH188&gt;'Settings'!$B$13,"Long wait","Feasible"))))</f>
        <v/>
      </c>
      <c r="AJ188" s="41">
        <f>IF($A188="","",IF($P188="","",$N188-$Z188-$AB188))</f>
        <v/>
      </c>
      <c r="AK188" s="38">
        <f>IF($A188="","",IF(COUNTIF($A$6:$A$205,$A188)&gt;1,"Duplicate Trip ID",IF($P188="","Open",IF(COUNTIF('Opportunities'!$A$6:$A$205,$P188)=0,"Load ID not found",IF(COUNTIFS('Opportunities'!$A$6:$A$205,$P188,'Opportunities'!$B$6:$B$205,$A188)=0,"Trip mismatch",IF(COUNTIF($P$6:$P$205,$P188)&gt;1,"Duplicate selection",IF(AND(OR($O188="Booked",$O188="Completed"),AND($Q188&lt;&gt;"Booked",$Q188&lt;&gt;"Completed")),"Status mismatch","OK")))))))</f>
        <v/>
      </c>
      <c r="AL188" s="46" t="n"/>
    </row>
    <row r="189">
      <c r="A189" s="34" t="n"/>
      <c r="B189" s="34" t="n"/>
      <c r="C189" s="34" t="n"/>
      <c r="D189" s="34" t="n"/>
      <c r="E189" s="34" t="n"/>
      <c r="F189" s="34" t="n"/>
      <c r="G189" s="34" t="n"/>
      <c r="H189" s="69" t="n"/>
      <c r="I189" s="36" t="n"/>
      <c r="J189" s="69" t="n"/>
      <c r="K189" s="36" t="n"/>
      <c r="L189" s="34" t="n"/>
      <c r="M189" s="34" t="n"/>
      <c r="N189" s="37" t="n"/>
      <c r="O189" s="34" t="n"/>
      <c r="P189" s="34" t="n"/>
      <c r="Q189" s="38">
        <f>IF($A189="","",IF($P189="","",IFERROR(INDEX('Opportunities'!$C$6:$C$205,MATCH($P189,'Opportunities'!$A$6:$A$205,0)),"")))</f>
        <v/>
      </c>
      <c r="R189" s="38">
        <f>IF($A189="","",IF($P189="","",IFERROR(INDEX('Opportunities'!$D$6:$D$205,MATCH($P189,'Opportunities'!$A$6:$A$205,0)),"")))</f>
        <v/>
      </c>
      <c r="S189" s="38">
        <f>IF($A189="","",IF($P189="","",IFERROR(INDEX('Opportunities'!$E$6:$E$205,MATCH($P189,'Opportunities'!$A$6:$A$205,0)),"")))</f>
        <v/>
      </c>
      <c r="T189" s="38">
        <f>IF($A189="","",IF($P189="","",IFERROR(INDEX('Opportunities'!$F$6:$F$205,MATCH($P189,'Opportunities'!$A$6:$A$205,0)),"")))</f>
        <v/>
      </c>
      <c r="U189" s="70">
        <f>IF($A189="","",IF($P189="","",IFERROR(INDEX('Opportunities'!$G$6:$G$205,MATCH($P189,'Opportunities'!$A$6:$A$205,0)),"")))</f>
        <v/>
      </c>
      <c r="V189" s="40">
        <f>IF($A189="","",IF($P189="","",IFERROR(INDEX('Opportunities'!$H$6:$H$205,MATCH($P189,'Opportunities'!$A$6:$A$205,0)),"")))</f>
        <v/>
      </c>
      <c r="W189" s="38">
        <f>IF($A189="","",IF($P189="","",IFERROR(INDEX('Opportunities'!$I$6:$I$205,MATCH($P189,'Opportunities'!$A$6:$A$205,0)),"")))</f>
        <v/>
      </c>
      <c r="X189" s="38">
        <f>IF($A189="","",IF($P189="","",IFERROR(INDEX('Opportunities'!$J$6:$J$205,MATCH($P189,'Opportunities'!$A$6:$A$205,0)),"")))</f>
        <v/>
      </c>
      <c r="Y189" s="70">
        <f>IF($A189="","",IF($P189="","",IFERROR(INDEX('Opportunities'!$K$6:$K$205,MATCH($P189,'Opportunities'!$A$6:$A$205,0)),"")))</f>
        <v/>
      </c>
      <c r="Z189" s="41">
        <f>IF($A189="","",IF($P189="","",IFERROR(INDEX('Opportunities'!$O$6:$O$205,MATCH($P189,'Opportunities'!$A$6:$A$205,0)),"")))</f>
        <v/>
      </c>
      <c r="AA189" s="41">
        <f>IF($A189="","",IF($P189="","",IFERROR(INDEX('Opportunities'!$P$6:$P$205,MATCH($P189,'Opportunities'!$A$6:$A$205,0)),"")))</f>
        <v/>
      </c>
      <c r="AB189" s="41">
        <f>IF($A189="","",IF($P189="","",IFERROR(INDEX('Opportunities'!$Q$6:$Q$205,MATCH($P189,'Opportunities'!$A$6:$A$205,0)),"")))</f>
        <v/>
      </c>
      <c r="AC189" s="71">
        <f>IF($A189="","",IF($P189="","",IFERROR(INDEX('Opportunities'!$Z$6:$Z$205,MATCH($P189,'Opportunities'!$A$6:$A$205,0)),"")))</f>
        <v/>
      </c>
      <c r="AD189" s="71">
        <f>IF($A189="","",IF($P189="","",IFERROR(INDEX('Opportunities'!$AJ$6:$AJ$205,MATCH($P189,'Opportunities'!$A$6:$A$205,0)),"")))</f>
        <v/>
      </c>
      <c r="AE189" s="72">
        <f>IF($A189="","",IF($P189="","",IFERROR(INDEX('Opportunities'!$AA$6:$AA$205,MATCH($P189,'Opportunities'!$A$6:$A$205,0)),"")))</f>
        <v/>
      </c>
      <c r="AF189" s="73">
        <f>IF($A189="","",IF($P189="","",IFERROR(INDEX('Opportunities'!$AF$6:$AF$205,MATCH($P189,'Opportunities'!$A$6:$A$205,0)),"")))</f>
        <v/>
      </c>
      <c r="AG189" s="41">
        <f>IF($A189="","",IF($P189="","",IFERROR(INDEX('Opportunities'!$AB$6:$AB$205,MATCH($P189,'Opportunities'!$A$6:$A$205,0)),"")))</f>
        <v/>
      </c>
      <c r="AH189" s="74">
        <f>IF($A189="","",IF($P189="","",IFERROR(($U189+$V189-$J189-$K189)*24,0)))</f>
        <v/>
      </c>
      <c r="AI189" s="38">
        <f>IF($A189="","",IF($P189="","No load selected",IF($AH189&lt;IFERROR($Z189/'Settings'!$B$11,0)+'Settings'!$B$12,"Too tight",IF($AH189&gt;'Settings'!$B$13,"Long wait","Feasible"))))</f>
        <v/>
      </c>
      <c r="AJ189" s="41">
        <f>IF($A189="","",IF($P189="","",$N189-$Z189-$AB189))</f>
        <v/>
      </c>
      <c r="AK189" s="38">
        <f>IF($A189="","",IF(COUNTIF($A$6:$A$205,$A189)&gt;1,"Duplicate Trip ID",IF($P189="","Open",IF(COUNTIF('Opportunities'!$A$6:$A$205,$P189)=0,"Load ID not found",IF(COUNTIFS('Opportunities'!$A$6:$A$205,$P189,'Opportunities'!$B$6:$B$205,$A189)=0,"Trip mismatch",IF(COUNTIF($P$6:$P$205,$P189)&gt;1,"Duplicate selection",IF(AND(OR($O189="Booked",$O189="Completed"),AND($Q189&lt;&gt;"Booked",$Q189&lt;&gt;"Completed")),"Status mismatch","OK")))))))</f>
        <v/>
      </c>
      <c r="AL189" s="46" t="n"/>
    </row>
    <row r="190">
      <c r="A190" s="34" t="n"/>
      <c r="B190" s="34" t="n"/>
      <c r="C190" s="34" t="n"/>
      <c r="D190" s="34" t="n"/>
      <c r="E190" s="34" t="n"/>
      <c r="F190" s="34" t="n"/>
      <c r="G190" s="34" t="n"/>
      <c r="H190" s="69" t="n"/>
      <c r="I190" s="36" t="n"/>
      <c r="J190" s="69" t="n"/>
      <c r="K190" s="36" t="n"/>
      <c r="L190" s="34" t="n"/>
      <c r="M190" s="34" t="n"/>
      <c r="N190" s="37" t="n"/>
      <c r="O190" s="34" t="n"/>
      <c r="P190" s="34" t="n"/>
      <c r="Q190" s="38">
        <f>IF($A190="","",IF($P190="","",IFERROR(INDEX('Opportunities'!$C$6:$C$205,MATCH($P190,'Opportunities'!$A$6:$A$205,0)),"")))</f>
        <v/>
      </c>
      <c r="R190" s="38">
        <f>IF($A190="","",IF($P190="","",IFERROR(INDEX('Opportunities'!$D$6:$D$205,MATCH($P190,'Opportunities'!$A$6:$A$205,0)),"")))</f>
        <v/>
      </c>
      <c r="S190" s="38">
        <f>IF($A190="","",IF($P190="","",IFERROR(INDEX('Opportunities'!$E$6:$E$205,MATCH($P190,'Opportunities'!$A$6:$A$205,0)),"")))</f>
        <v/>
      </c>
      <c r="T190" s="38">
        <f>IF($A190="","",IF($P190="","",IFERROR(INDEX('Opportunities'!$F$6:$F$205,MATCH($P190,'Opportunities'!$A$6:$A$205,0)),"")))</f>
        <v/>
      </c>
      <c r="U190" s="70">
        <f>IF($A190="","",IF($P190="","",IFERROR(INDEX('Opportunities'!$G$6:$G$205,MATCH($P190,'Opportunities'!$A$6:$A$205,0)),"")))</f>
        <v/>
      </c>
      <c r="V190" s="40">
        <f>IF($A190="","",IF($P190="","",IFERROR(INDEX('Opportunities'!$H$6:$H$205,MATCH($P190,'Opportunities'!$A$6:$A$205,0)),"")))</f>
        <v/>
      </c>
      <c r="W190" s="38">
        <f>IF($A190="","",IF($P190="","",IFERROR(INDEX('Opportunities'!$I$6:$I$205,MATCH($P190,'Opportunities'!$A$6:$A$205,0)),"")))</f>
        <v/>
      </c>
      <c r="X190" s="38">
        <f>IF($A190="","",IF($P190="","",IFERROR(INDEX('Opportunities'!$J$6:$J$205,MATCH($P190,'Opportunities'!$A$6:$A$205,0)),"")))</f>
        <v/>
      </c>
      <c r="Y190" s="70">
        <f>IF($A190="","",IF($P190="","",IFERROR(INDEX('Opportunities'!$K$6:$K$205,MATCH($P190,'Opportunities'!$A$6:$A$205,0)),"")))</f>
        <v/>
      </c>
      <c r="Z190" s="41">
        <f>IF($A190="","",IF($P190="","",IFERROR(INDEX('Opportunities'!$O$6:$O$205,MATCH($P190,'Opportunities'!$A$6:$A$205,0)),"")))</f>
        <v/>
      </c>
      <c r="AA190" s="41">
        <f>IF($A190="","",IF($P190="","",IFERROR(INDEX('Opportunities'!$P$6:$P$205,MATCH($P190,'Opportunities'!$A$6:$A$205,0)),"")))</f>
        <v/>
      </c>
      <c r="AB190" s="41">
        <f>IF($A190="","",IF($P190="","",IFERROR(INDEX('Opportunities'!$Q$6:$Q$205,MATCH($P190,'Opportunities'!$A$6:$A$205,0)),"")))</f>
        <v/>
      </c>
      <c r="AC190" s="71">
        <f>IF($A190="","",IF($P190="","",IFERROR(INDEX('Opportunities'!$Z$6:$Z$205,MATCH($P190,'Opportunities'!$A$6:$A$205,0)),"")))</f>
        <v/>
      </c>
      <c r="AD190" s="71">
        <f>IF($A190="","",IF($P190="","",IFERROR(INDEX('Opportunities'!$AJ$6:$AJ$205,MATCH($P190,'Opportunities'!$A$6:$A$205,0)),"")))</f>
        <v/>
      </c>
      <c r="AE190" s="72">
        <f>IF($A190="","",IF($P190="","",IFERROR(INDEX('Opportunities'!$AA$6:$AA$205,MATCH($P190,'Opportunities'!$A$6:$A$205,0)),"")))</f>
        <v/>
      </c>
      <c r="AF190" s="73">
        <f>IF($A190="","",IF($P190="","",IFERROR(INDEX('Opportunities'!$AF$6:$AF$205,MATCH($P190,'Opportunities'!$A$6:$A$205,0)),"")))</f>
        <v/>
      </c>
      <c r="AG190" s="41">
        <f>IF($A190="","",IF($P190="","",IFERROR(INDEX('Opportunities'!$AB$6:$AB$205,MATCH($P190,'Opportunities'!$A$6:$A$205,0)),"")))</f>
        <v/>
      </c>
      <c r="AH190" s="74">
        <f>IF($A190="","",IF($P190="","",IFERROR(($U190+$V190-$J190-$K190)*24,0)))</f>
        <v/>
      </c>
      <c r="AI190" s="38">
        <f>IF($A190="","",IF($P190="","No load selected",IF($AH190&lt;IFERROR($Z190/'Settings'!$B$11,0)+'Settings'!$B$12,"Too tight",IF($AH190&gt;'Settings'!$B$13,"Long wait","Feasible"))))</f>
        <v/>
      </c>
      <c r="AJ190" s="41">
        <f>IF($A190="","",IF($P190="","",$N190-$Z190-$AB190))</f>
        <v/>
      </c>
      <c r="AK190" s="38">
        <f>IF($A190="","",IF(COUNTIF($A$6:$A$205,$A190)&gt;1,"Duplicate Trip ID",IF($P190="","Open",IF(COUNTIF('Opportunities'!$A$6:$A$205,$P190)=0,"Load ID not found",IF(COUNTIFS('Opportunities'!$A$6:$A$205,$P190,'Opportunities'!$B$6:$B$205,$A190)=0,"Trip mismatch",IF(COUNTIF($P$6:$P$205,$P190)&gt;1,"Duplicate selection",IF(AND(OR($O190="Booked",$O190="Completed"),AND($Q190&lt;&gt;"Booked",$Q190&lt;&gt;"Completed")),"Status mismatch","OK")))))))</f>
        <v/>
      </c>
      <c r="AL190" s="46" t="n"/>
    </row>
    <row r="191">
      <c r="A191" s="34" t="n"/>
      <c r="B191" s="34" t="n"/>
      <c r="C191" s="34" t="n"/>
      <c r="D191" s="34" t="n"/>
      <c r="E191" s="34" t="n"/>
      <c r="F191" s="34" t="n"/>
      <c r="G191" s="34" t="n"/>
      <c r="H191" s="69" t="n"/>
      <c r="I191" s="36" t="n"/>
      <c r="J191" s="69" t="n"/>
      <c r="K191" s="36" t="n"/>
      <c r="L191" s="34" t="n"/>
      <c r="M191" s="34" t="n"/>
      <c r="N191" s="37" t="n"/>
      <c r="O191" s="34" t="n"/>
      <c r="P191" s="34" t="n"/>
      <c r="Q191" s="38">
        <f>IF($A191="","",IF($P191="","",IFERROR(INDEX('Opportunities'!$C$6:$C$205,MATCH($P191,'Opportunities'!$A$6:$A$205,0)),"")))</f>
        <v/>
      </c>
      <c r="R191" s="38">
        <f>IF($A191="","",IF($P191="","",IFERROR(INDEX('Opportunities'!$D$6:$D$205,MATCH($P191,'Opportunities'!$A$6:$A$205,0)),"")))</f>
        <v/>
      </c>
      <c r="S191" s="38">
        <f>IF($A191="","",IF($P191="","",IFERROR(INDEX('Opportunities'!$E$6:$E$205,MATCH($P191,'Opportunities'!$A$6:$A$205,0)),"")))</f>
        <v/>
      </c>
      <c r="T191" s="38">
        <f>IF($A191="","",IF($P191="","",IFERROR(INDEX('Opportunities'!$F$6:$F$205,MATCH($P191,'Opportunities'!$A$6:$A$205,0)),"")))</f>
        <v/>
      </c>
      <c r="U191" s="70">
        <f>IF($A191="","",IF($P191="","",IFERROR(INDEX('Opportunities'!$G$6:$G$205,MATCH($P191,'Opportunities'!$A$6:$A$205,0)),"")))</f>
        <v/>
      </c>
      <c r="V191" s="40">
        <f>IF($A191="","",IF($P191="","",IFERROR(INDEX('Opportunities'!$H$6:$H$205,MATCH($P191,'Opportunities'!$A$6:$A$205,0)),"")))</f>
        <v/>
      </c>
      <c r="W191" s="38">
        <f>IF($A191="","",IF($P191="","",IFERROR(INDEX('Opportunities'!$I$6:$I$205,MATCH($P191,'Opportunities'!$A$6:$A$205,0)),"")))</f>
        <v/>
      </c>
      <c r="X191" s="38">
        <f>IF($A191="","",IF($P191="","",IFERROR(INDEX('Opportunities'!$J$6:$J$205,MATCH($P191,'Opportunities'!$A$6:$A$205,0)),"")))</f>
        <v/>
      </c>
      <c r="Y191" s="70">
        <f>IF($A191="","",IF($P191="","",IFERROR(INDEX('Opportunities'!$K$6:$K$205,MATCH($P191,'Opportunities'!$A$6:$A$205,0)),"")))</f>
        <v/>
      </c>
      <c r="Z191" s="41">
        <f>IF($A191="","",IF($P191="","",IFERROR(INDEX('Opportunities'!$O$6:$O$205,MATCH($P191,'Opportunities'!$A$6:$A$205,0)),"")))</f>
        <v/>
      </c>
      <c r="AA191" s="41">
        <f>IF($A191="","",IF($P191="","",IFERROR(INDEX('Opportunities'!$P$6:$P$205,MATCH($P191,'Opportunities'!$A$6:$A$205,0)),"")))</f>
        <v/>
      </c>
      <c r="AB191" s="41">
        <f>IF($A191="","",IF($P191="","",IFERROR(INDEX('Opportunities'!$Q$6:$Q$205,MATCH($P191,'Opportunities'!$A$6:$A$205,0)),"")))</f>
        <v/>
      </c>
      <c r="AC191" s="71">
        <f>IF($A191="","",IF($P191="","",IFERROR(INDEX('Opportunities'!$Z$6:$Z$205,MATCH($P191,'Opportunities'!$A$6:$A$205,0)),"")))</f>
        <v/>
      </c>
      <c r="AD191" s="71">
        <f>IF($A191="","",IF($P191="","",IFERROR(INDEX('Opportunities'!$AJ$6:$AJ$205,MATCH($P191,'Opportunities'!$A$6:$A$205,0)),"")))</f>
        <v/>
      </c>
      <c r="AE191" s="72">
        <f>IF($A191="","",IF($P191="","",IFERROR(INDEX('Opportunities'!$AA$6:$AA$205,MATCH($P191,'Opportunities'!$A$6:$A$205,0)),"")))</f>
        <v/>
      </c>
      <c r="AF191" s="73">
        <f>IF($A191="","",IF($P191="","",IFERROR(INDEX('Opportunities'!$AF$6:$AF$205,MATCH($P191,'Opportunities'!$A$6:$A$205,0)),"")))</f>
        <v/>
      </c>
      <c r="AG191" s="41">
        <f>IF($A191="","",IF($P191="","",IFERROR(INDEX('Opportunities'!$AB$6:$AB$205,MATCH($P191,'Opportunities'!$A$6:$A$205,0)),"")))</f>
        <v/>
      </c>
      <c r="AH191" s="74">
        <f>IF($A191="","",IF($P191="","",IFERROR(($U191+$V191-$J191-$K191)*24,0)))</f>
        <v/>
      </c>
      <c r="AI191" s="38">
        <f>IF($A191="","",IF($P191="","No load selected",IF($AH191&lt;IFERROR($Z191/'Settings'!$B$11,0)+'Settings'!$B$12,"Too tight",IF($AH191&gt;'Settings'!$B$13,"Long wait","Feasible"))))</f>
        <v/>
      </c>
      <c r="AJ191" s="41">
        <f>IF($A191="","",IF($P191="","",$N191-$Z191-$AB191))</f>
        <v/>
      </c>
      <c r="AK191" s="38">
        <f>IF($A191="","",IF(COUNTIF($A$6:$A$205,$A191)&gt;1,"Duplicate Trip ID",IF($P191="","Open",IF(COUNTIF('Opportunities'!$A$6:$A$205,$P191)=0,"Load ID not found",IF(COUNTIFS('Opportunities'!$A$6:$A$205,$P191,'Opportunities'!$B$6:$B$205,$A191)=0,"Trip mismatch",IF(COUNTIF($P$6:$P$205,$P191)&gt;1,"Duplicate selection",IF(AND(OR($O191="Booked",$O191="Completed"),AND($Q191&lt;&gt;"Booked",$Q191&lt;&gt;"Completed")),"Status mismatch","OK")))))))</f>
        <v/>
      </c>
      <c r="AL191" s="46" t="n"/>
    </row>
    <row r="192">
      <c r="A192" s="34" t="n"/>
      <c r="B192" s="34" t="n"/>
      <c r="C192" s="34" t="n"/>
      <c r="D192" s="34" t="n"/>
      <c r="E192" s="34" t="n"/>
      <c r="F192" s="34" t="n"/>
      <c r="G192" s="34" t="n"/>
      <c r="H192" s="69" t="n"/>
      <c r="I192" s="36" t="n"/>
      <c r="J192" s="69" t="n"/>
      <c r="K192" s="36" t="n"/>
      <c r="L192" s="34" t="n"/>
      <c r="M192" s="34" t="n"/>
      <c r="N192" s="37" t="n"/>
      <c r="O192" s="34" t="n"/>
      <c r="P192" s="34" t="n"/>
      <c r="Q192" s="38">
        <f>IF($A192="","",IF($P192="","",IFERROR(INDEX('Opportunities'!$C$6:$C$205,MATCH($P192,'Opportunities'!$A$6:$A$205,0)),"")))</f>
        <v/>
      </c>
      <c r="R192" s="38">
        <f>IF($A192="","",IF($P192="","",IFERROR(INDEX('Opportunities'!$D$6:$D$205,MATCH($P192,'Opportunities'!$A$6:$A$205,0)),"")))</f>
        <v/>
      </c>
      <c r="S192" s="38">
        <f>IF($A192="","",IF($P192="","",IFERROR(INDEX('Opportunities'!$E$6:$E$205,MATCH($P192,'Opportunities'!$A$6:$A$205,0)),"")))</f>
        <v/>
      </c>
      <c r="T192" s="38">
        <f>IF($A192="","",IF($P192="","",IFERROR(INDEX('Opportunities'!$F$6:$F$205,MATCH($P192,'Opportunities'!$A$6:$A$205,0)),"")))</f>
        <v/>
      </c>
      <c r="U192" s="70">
        <f>IF($A192="","",IF($P192="","",IFERROR(INDEX('Opportunities'!$G$6:$G$205,MATCH($P192,'Opportunities'!$A$6:$A$205,0)),"")))</f>
        <v/>
      </c>
      <c r="V192" s="40">
        <f>IF($A192="","",IF($P192="","",IFERROR(INDEX('Opportunities'!$H$6:$H$205,MATCH($P192,'Opportunities'!$A$6:$A$205,0)),"")))</f>
        <v/>
      </c>
      <c r="W192" s="38">
        <f>IF($A192="","",IF($P192="","",IFERROR(INDEX('Opportunities'!$I$6:$I$205,MATCH($P192,'Opportunities'!$A$6:$A$205,0)),"")))</f>
        <v/>
      </c>
      <c r="X192" s="38">
        <f>IF($A192="","",IF($P192="","",IFERROR(INDEX('Opportunities'!$J$6:$J$205,MATCH($P192,'Opportunities'!$A$6:$A$205,0)),"")))</f>
        <v/>
      </c>
      <c r="Y192" s="70">
        <f>IF($A192="","",IF($P192="","",IFERROR(INDEX('Opportunities'!$K$6:$K$205,MATCH($P192,'Opportunities'!$A$6:$A$205,0)),"")))</f>
        <v/>
      </c>
      <c r="Z192" s="41">
        <f>IF($A192="","",IF($P192="","",IFERROR(INDEX('Opportunities'!$O$6:$O$205,MATCH($P192,'Opportunities'!$A$6:$A$205,0)),"")))</f>
        <v/>
      </c>
      <c r="AA192" s="41">
        <f>IF($A192="","",IF($P192="","",IFERROR(INDEX('Opportunities'!$P$6:$P$205,MATCH($P192,'Opportunities'!$A$6:$A$205,0)),"")))</f>
        <v/>
      </c>
      <c r="AB192" s="41">
        <f>IF($A192="","",IF($P192="","",IFERROR(INDEX('Opportunities'!$Q$6:$Q$205,MATCH($P192,'Opportunities'!$A$6:$A$205,0)),"")))</f>
        <v/>
      </c>
      <c r="AC192" s="71">
        <f>IF($A192="","",IF($P192="","",IFERROR(INDEX('Opportunities'!$Z$6:$Z$205,MATCH($P192,'Opportunities'!$A$6:$A$205,0)),"")))</f>
        <v/>
      </c>
      <c r="AD192" s="71">
        <f>IF($A192="","",IF($P192="","",IFERROR(INDEX('Opportunities'!$AJ$6:$AJ$205,MATCH($P192,'Opportunities'!$A$6:$A$205,0)),"")))</f>
        <v/>
      </c>
      <c r="AE192" s="72">
        <f>IF($A192="","",IF($P192="","",IFERROR(INDEX('Opportunities'!$AA$6:$AA$205,MATCH($P192,'Opportunities'!$A$6:$A$205,0)),"")))</f>
        <v/>
      </c>
      <c r="AF192" s="73">
        <f>IF($A192="","",IF($P192="","",IFERROR(INDEX('Opportunities'!$AF$6:$AF$205,MATCH($P192,'Opportunities'!$A$6:$A$205,0)),"")))</f>
        <v/>
      </c>
      <c r="AG192" s="41">
        <f>IF($A192="","",IF($P192="","",IFERROR(INDEX('Opportunities'!$AB$6:$AB$205,MATCH($P192,'Opportunities'!$A$6:$A$205,0)),"")))</f>
        <v/>
      </c>
      <c r="AH192" s="74">
        <f>IF($A192="","",IF($P192="","",IFERROR(($U192+$V192-$J192-$K192)*24,0)))</f>
        <v/>
      </c>
      <c r="AI192" s="38">
        <f>IF($A192="","",IF($P192="","No load selected",IF($AH192&lt;IFERROR($Z192/'Settings'!$B$11,0)+'Settings'!$B$12,"Too tight",IF($AH192&gt;'Settings'!$B$13,"Long wait","Feasible"))))</f>
        <v/>
      </c>
      <c r="AJ192" s="41">
        <f>IF($A192="","",IF($P192="","",$N192-$Z192-$AB192))</f>
        <v/>
      </c>
      <c r="AK192" s="38">
        <f>IF($A192="","",IF(COUNTIF($A$6:$A$205,$A192)&gt;1,"Duplicate Trip ID",IF($P192="","Open",IF(COUNTIF('Opportunities'!$A$6:$A$205,$P192)=0,"Load ID not found",IF(COUNTIFS('Opportunities'!$A$6:$A$205,$P192,'Opportunities'!$B$6:$B$205,$A192)=0,"Trip mismatch",IF(COUNTIF($P$6:$P$205,$P192)&gt;1,"Duplicate selection",IF(AND(OR($O192="Booked",$O192="Completed"),AND($Q192&lt;&gt;"Booked",$Q192&lt;&gt;"Completed")),"Status mismatch","OK")))))))</f>
        <v/>
      </c>
      <c r="AL192" s="46" t="n"/>
    </row>
    <row r="193">
      <c r="A193" s="34" t="n"/>
      <c r="B193" s="34" t="n"/>
      <c r="C193" s="34" t="n"/>
      <c r="D193" s="34" t="n"/>
      <c r="E193" s="34" t="n"/>
      <c r="F193" s="34" t="n"/>
      <c r="G193" s="34" t="n"/>
      <c r="H193" s="69" t="n"/>
      <c r="I193" s="36" t="n"/>
      <c r="J193" s="69" t="n"/>
      <c r="K193" s="36" t="n"/>
      <c r="L193" s="34" t="n"/>
      <c r="M193" s="34" t="n"/>
      <c r="N193" s="37" t="n"/>
      <c r="O193" s="34" t="n"/>
      <c r="P193" s="34" t="n"/>
      <c r="Q193" s="38">
        <f>IF($A193="","",IF($P193="","",IFERROR(INDEX('Opportunities'!$C$6:$C$205,MATCH($P193,'Opportunities'!$A$6:$A$205,0)),"")))</f>
        <v/>
      </c>
      <c r="R193" s="38">
        <f>IF($A193="","",IF($P193="","",IFERROR(INDEX('Opportunities'!$D$6:$D$205,MATCH($P193,'Opportunities'!$A$6:$A$205,0)),"")))</f>
        <v/>
      </c>
      <c r="S193" s="38">
        <f>IF($A193="","",IF($P193="","",IFERROR(INDEX('Opportunities'!$E$6:$E$205,MATCH($P193,'Opportunities'!$A$6:$A$205,0)),"")))</f>
        <v/>
      </c>
      <c r="T193" s="38">
        <f>IF($A193="","",IF($P193="","",IFERROR(INDEX('Opportunities'!$F$6:$F$205,MATCH($P193,'Opportunities'!$A$6:$A$205,0)),"")))</f>
        <v/>
      </c>
      <c r="U193" s="70">
        <f>IF($A193="","",IF($P193="","",IFERROR(INDEX('Opportunities'!$G$6:$G$205,MATCH($P193,'Opportunities'!$A$6:$A$205,0)),"")))</f>
        <v/>
      </c>
      <c r="V193" s="40">
        <f>IF($A193="","",IF($P193="","",IFERROR(INDEX('Opportunities'!$H$6:$H$205,MATCH($P193,'Opportunities'!$A$6:$A$205,0)),"")))</f>
        <v/>
      </c>
      <c r="W193" s="38">
        <f>IF($A193="","",IF($P193="","",IFERROR(INDEX('Opportunities'!$I$6:$I$205,MATCH($P193,'Opportunities'!$A$6:$A$205,0)),"")))</f>
        <v/>
      </c>
      <c r="X193" s="38">
        <f>IF($A193="","",IF($P193="","",IFERROR(INDEX('Opportunities'!$J$6:$J$205,MATCH($P193,'Opportunities'!$A$6:$A$205,0)),"")))</f>
        <v/>
      </c>
      <c r="Y193" s="70">
        <f>IF($A193="","",IF($P193="","",IFERROR(INDEX('Opportunities'!$K$6:$K$205,MATCH($P193,'Opportunities'!$A$6:$A$205,0)),"")))</f>
        <v/>
      </c>
      <c r="Z193" s="41">
        <f>IF($A193="","",IF($P193="","",IFERROR(INDEX('Opportunities'!$O$6:$O$205,MATCH($P193,'Opportunities'!$A$6:$A$205,0)),"")))</f>
        <v/>
      </c>
      <c r="AA193" s="41">
        <f>IF($A193="","",IF($P193="","",IFERROR(INDEX('Opportunities'!$P$6:$P$205,MATCH($P193,'Opportunities'!$A$6:$A$205,0)),"")))</f>
        <v/>
      </c>
      <c r="AB193" s="41">
        <f>IF($A193="","",IF($P193="","",IFERROR(INDEX('Opportunities'!$Q$6:$Q$205,MATCH($P193,'Opportunities'!$A$6:$A$205,0)),"")))</f>
        <v/>
      </c>
      <c r="AC193" s="71">
        <f>IF($A193="","",IF($P193="","",IFERROR(INDEX('Opportunities'!$Z$6:$Z$205,MATCH($P193,'Opportunities'!$A$6:$A$205,0)),"")))</f>
        <v/>
      </c>
      <c r="AD193" s="71">
        <f>IF($A193="","",IF($P193="","",IFERROR(INDEX('Opportunities'!$AJ$6:$AJ$205,MATCH($P193,'Opportunities'!$A$6:$A$205,0)),"")))</f>
        <v/>
      </c>
      <c r="AE193" s="72">
        <f>IF($A193="","",IF($P193="","",IFERROR(INDEX('Opportunities'!$AA$6:$AA$205,MATCH($P193,'Opportunities'!$A$6:$A$205,0)),"")))</f>
        <v/>
      </c>
      <c r="AF193" s="73">
        <f>IF($A193="","",IF($P193="","",IFERROR(INDEX('Opportunities'!$AF$6:$AF$205,MATCH($P193,'Opportunities'!$A$6:$A$205,0)),"")))</f>
        <v/>
      </c>
      <c r="AG193" s="41">
        <f>IF($A193="","",IF($P193="","",IFERROR(INDEX('Opportunities'!$AB$6:$AB$205,MATCH($P193,'Opportunities'!$A$6:$A$205,0)),"")))</f>
        <v/>
      </c>
      <c r="AH193" s="74">
        <f>IF($A193="","",IF($P193="","",IFERROR(($U193+$V193-$J193-$K193)*24,0)))</f>
        <v/>
      </c>
      <c r="AI193" s="38">
        <f>IF($A193="","",IF($P193="","No load selected",IF($AH193&lt;IFERROR($Z193/'Settings'!$B$11,0)+'Settings'!$B$12,"Too tight",IF($AH193&gt;'Settings'!$B$13,"Long wait","Feasible"))))</f>
        <v/>
      </c>
      <c r="AJ193" s="41">
        <f>IF($A193="","",IF($P193="","",$N193-$Z193-$AB193))</f>
        <v/>
      </c>
      <c r="AK193" s="38">
        <f>IF($A193="","",IF(COUNTIF($A$6:$A$205,$A193)&gt;1,"Duplicate Trip ID",IF($P193="","Open",IF(COUNTIF('Opportunities'!$A$6:$A$205,$P193)=0,"Load ID not found",IF(COUNTIFS('Opportunities'!$A$6:$A$205,$P193,'Opportunities'!$B$6:$B$205,$A193)=0,"Trip mismatch",IF(COUNTIF($P$6:$P$205,$P193)&gt;1,"Duplicate selection",IF(AND(OR($O193="Booked",$O193="Completed"),AND($Q193&lt;&gt;"Booked",$Q193&lt;&gt;"Completed")),"Status mismatch","OK")))))))</f>
        <v/>
      </c>
      <c r="AL193" s="46" t="n"/>
    </row>
    <row r="194">
      <c r="A194" s="34" t="n"/>
      <c r="B194" s="34" t="n"/>
      <c r="C194" s="34" t="n"/>
      <c r="D194" s="34" t="n"/>
      <c r="E194" s="34" t="n"/>
      <c r="F194" s="34" t="n"/>
      <c r="G194" s="34" t="n"/>
      <c r="H194" s="69" t="n"/>
      <c r="I194" s="36" t="n"/>
      <c r="J194" s="69" t="n"/>
      <c r="K194" s="36" t="n"/>
      <c r="L194" s="34" t="n"/>
      <c r="M194" s="34" t="n"/>
      <c r="N194" s="37" t="n"/>
      <c r="O194" s="34" t="n"/>
      <c r="P194" s="34" t="n"/>
      <c r="Q194" s="38">
        <f>IF($A194="","",IF($P194="","",IFERROR(INDEX('Opportunities'!$C$6:$C$205,MATCH($P194,'Opportunities'!$A$6:$A$205,0)),"")))</f>
        <v/>
      </c>
      <c r="R194" s="38">
        <f>IF($A194="","",IF($P194="","",IFERROR(INDEX('Opportunities'!$D$6:$D$205,MATCH($P194,'Opportunities'!$A$6:$A$205,0)),"")))</f>
        <v/>
      </c>
      <c r="S194" s="38">
        <f>IF($A194="","",IF($P194="","",IFERROR(INDEX('Opportunities'!$E$6:$E$205,MATCH($P194,'Opportunities'!$A$6:$A$205,0)),"")))</f>
        <v/>
      </c>
      <c r="T194" s="38">
        <f>IF($A194="","",IF($P194="","",IFERROR(INDEX('Opportunities'!$F$6:$F$205,MATCH($P194,'Opportunities'!$A$6:$A$205,0)),"")))</f>
        <v/>
      </c>
      <c r="U194" s="70">
        <f>IF($A194="","",IF($P194="","",IFERROR(INDEX('Opportunities'!$G$6:$G$205,MATCH($P194,'Opportunities'!$A$6:$A$205,0)),"")))</f>
        <v/>
      </c>
      <c r="V194" s="40">
        <f>IF($A194="","",IF($P194="","",IFERROR(INDEX('Opportunities'!$H$6:$H$205,MATCH($P194,'Opportunities'!$A$6:$A$205,0)),"")))</f>
        <v/>
      </c>
      <c r="W194" s="38">
        <f>IF($A194="","",IF($P194="","",IFERROR(INDEX('Opportunities'!$I$6:$I$205,MATCH($P194,'Opportunities'!$A$6:$A$205,0)),"")))</f>
        <v/>
      </c>
      <c r="X194" s="38">
        <f>IF($A194="","",IF($P194="","",IFERROR(INDEX('Opportunities'!$J$6:$J$205,MATCH($P194,'Opportunities'!$A$6:$A$205,0)),"")))</f>
        <v/>
      </c>
      <c r="Y194" s="70">
        <f>IF($A194="","",IF($P194="","",IFERROR(INDEX('Opportunities'!$K$6:$K$205,MATCH($P194,'Opportunities'!$A$6:$A$205,0)),"")))</f>
        <v/>
      </c>
      <c r="Z194" s="41">
        <f>IF($A194="","",IF($P194="","",IFERROR(INDEX('Opportunities'!$O$6:$O$205,MATCH($P194,'Opportunities'!$A$6:$A$205,0)),"")))</f>
        <v/>
      </c>
      <c r="AA194" s="41">
        <f>IF($A194="","",IF($P194="","",IFERROR(INDEX('Opportunities'!$P$6:$P$205,MATCH($P194,'Opportunities'!$A$6:$A$205,0)),"")))</f>
        <v/>
      </c>
      <c r="AB194" s="41">
        <f>IF($A194="","",IF($P194="","",IFERROR(INDEX('Opportunities'!$Q$6:$Q$205,MATCH($P194,'Opportunities'!$A$6:$A$205,0)),"")))</f>
        <v/>
      </c>
      <c r="AC194" s="71">
        <f>IF($A194="","",IF($P194="","",IFERROR(INDEX('Opportunities'!$Z$6:$Z$205,MATCH($P194,'Opportunities'!$A$6:$A$205,0)),"")))</f>
        <v/>
      </c>
      <c r="AD194" s="71">
        <f>IF($A194="","",IF($P194="","",IFERROR(INDEX('Opportunities'!$AJ$6:$AJ$205,MATCH($P194,'Opportunities'!$A$6:$A$205,0)),"")))</f>
        <v/>
      </c>
      <c r="AE194" s="72">
        <f>IF($A194="","",IF($P194="","",IFERROR(INDEX('Opportunities'!$AA$6:$AA$205,MATCH($P194,'Opportunities'!$A$6:$A$205,0)),"")))</f>
        <v/>
      </c>
      <c r="AF194" s="73">
        <f>IF($A194="","",IF($P194="","",IFERROR(INDEX('Opportunities'!$AF$6:$AF$205,MATCH($P194,'Opportunities'!$A$6:$A$205,0)),"")))</f>
        <v/>
      </c>
      <c r="AG194" s="41">
        <f>IF($A194="","",IF($P194="","",IFERROR(INDEX('Opportunities'!$AB$6:$AB$205,MATCH($P194,'Opportunities'!$A$6:$A$205,0)),"")))</f>
        <v/>
      </c>
      <c r="AH194" s="74">
        <f>IF($A194="","",IF($P194="","",IFERROR(($U194+$V194-$J194-$K194)*24,0)))</f>
        <v/>
      </c>
      <c r="AI194" s="38">
        <f>IF($A194="","",IF($P194="","No load selected",IF($AH194&lt;IFERROR($Z194/'Settings'!$B$11,0)+'Settings'!$B$12,"Too tight",IF($AH194&gt;'Settings'!$B$13,"Long wait","Feasible"))))</f>
        <v/>
      </c>
      <c r="AJ194" s="41">
        <f>IF($A194="","",IF($P194="","",$N194-$Z194-$AB194))</f>
        <v/>
      </c>
      <c r="AK194" s="38">
        <f>IF($A194="","",IF(COUNTIF($A$6:$A$205,$A194)&gt;1,"Duplicate Trip ID",IF($P194="","Open",IF(COUNTIF('Opportunities'!$A$6:$A$205,$P194)=0,"Load ID not found",IF(COUNTIFS('Opportunities'!$A$6:$A$205,$P194,'Opportunities'!$B$6:$B$205,$A194)=0,"Trip mismatch",IF(COUNTIF($P$6:$P$205,$P194)&gt;1,"Duplicate selection",IF(AND(OR($O194="Booked",$O194="Completed"),AND($Q194&lt;&gt;"Booked",$Q194&lt;&gt;"Completed")),"Status mismatch","OK")))))))</f>
        <v/>
      </c>
      <c r="AL194" s="46" t="n"/>
    </row>
    <row r="195">
      <c r="A195" s="34" t="n"/>
      <c r="B195" s="34" t="n"/>
      <c r="C195" s="34" t="n"/>
      <c r="D195" s="34" t="n"/>
      <c r="E195" s="34" t="n"/>
      <c r="F195" s="34" t="n"/>
      <c r="G195" s="34" t="n"/>
      <c r="H195" s="69" t="n"/>
      <c r="I195" s="36" t="n"/>
      <c r="J195" s="69" t="n"/>
      <c r="K195" s="36" t="n"/>
      <c r="L195" s="34" t="n"/>
      <c r="M195" s="34" t="n"/>
      <c r="N195" s="37" t="n"/>
      <c r="O195" s="34" t="n"/>
      <c r="P195" s="34" t="n"/>
      <c r="Q195" s="38">
        <f>IF($A195="","",IF($P195="","",IFERROR(INDEX('Opportunities'!$C$6:$C$205,MATCH($P195,'Opportunities'!$A$6:$A$205,0)),"")))</f>
        <v/>
      </c>
      <c r="R195" s="38">
        <f>IF($A195="","",IF($P195="","",IFERROR(INDEX('Opportunities'!$D$6:$D$205,MATCH($P195,'Opportunities'!$A$6:$A$205,0)),"")))</f>
        <v/>
      </c>
      <c r="S195" s="38">
        <f>IF($A195="","",IF($P195="","",IFERROR(INDEX('Opportunities'!$E$6:$E$205,MATCH($P195,'Opportunities'!$A$6:$A$205,0)),"")))</f>
        <v/>
      </c>
      <c r="T195" s="38">
        <f>IF($A195="","",IF($P195="","",IFERROR(INDEX('Opportunities'!$F$6:$F$205,MATCH($P195,'Opportunities'!$A$6:$A$205,0)),"")))</f>
        <v/>
      </c>
      <c r="U195" s="70">
        <f>IF($A195="","",IF($P195="","",IFERROR(INDEX('Opportunities'!$G$6:$G$205,MATCH($P195,'Opportunities'!$A$6:$A$205,0)),"")))</f>
        <v/>
      </c>
      <c r="V195" s="40">
        <f>IF($A195="","",IF($P195="","",IFERROR(INDEX('Opportunities'!$H$6:$H$205,MATCH($P195,'Opportunities'!$A$6:$A$205,0)),"")))</f>
        <v/>
      </c>
      <c r="W195" s="38">
        <f>IF($A195="","",IF($P195="","",IFERROR(INDEX('Opportunities'!$I$6:$I$205,MATCH($P195,'Opportunities'!$A$6:$A$205,0)),"")))</f>
        <v/>
      </c>
      <c r="X195" s="38">
        <f>IF($A195="","",IF($P195="","",IFERROR(INDEX('Opportunities'!$J$6:$J$205,MATCH($P195,'Opportunities'!$A$6:$A$205,0)),"")))</f>
        <v/>
      </c>
      <c r="Y195" s="70">
        <f>IF($A195="","",IF($P195="","",IFERROR(INDEX('Opportunities'!$K$6:$K$205,MATCH($P195,'Opportunities'!$A$6:$A$205,0)),"")))</f>
        <v/>
      </c>
      <c r="Z195" s="41">
        <f>IF($A195="","",IF($P195="","",IFERROR(INDEX('Opportunities'!$O$6:$O$205,MATCH($P195,'Opportunities'!$A$6:$A$205,0)),"")))</f>
        <v/>
      </c>
      <c r="AA195" s="41">
        <f>IF($A195="","",IF($P195="","",IFERROR(INDEX('Opportunities'!$P$6:$P$205,MATCH($P195,'Opportunities'!$A$6:$A$205,0)),"")))</f>
        <v/>
      </c>
      <c r="AB195" s="41">
        <f>IF($A195="","",IF($P195="","",IFERROR(INDEX('Opportunities'!$Q$6:$Q$205,MATCH($P195,'Opportunities'!$A$6:$A$205,0)),"")))</f>
        <v/>
      </c>
      <c r="AC195" s="71">
        <f>IF($A195="","",IF($P195="","",IFERROR(INDEX('Opportunities'!$Z$6:$Z$205,MATCH($P195,'Opportunities'!$A$6:$A$205,0)),"")))</f>
        <v/>
      </c>
      <c r="AD195" s="71">
        <f>IF($A195="","",IF($P195="","",IFERROR(INDEX('Opportunities'!$AJ$6:$AJ$205,MATCH($P195,'Opportunities'!$A$6:$A$205,0)),"")))</f>
        <v/>
      </c>
      <c r="AE195" s="72">
        <f>IF($A195="","",IF($P195="","",IFERROR(INDEX('Opportunities'!$AA$6:$AA$205,MATCH($P195,'Opportunities'!$A$6:$A$205,0)),"")))</f>
        <v/>
      </c>
      <c r="AF195" s="73">
        <f>IF($A195="","",IF($P195="","",IFERROR(INDEX('Opportunities'!$AF$6:$AF$205,MATCH($P195,'Opportunities'!$A$6:$A$205,0)),"")))</f>
        <v/>
      </c>
      <c r="AG195" s="41">
        <f>IF($A195="","",IF($P195="","",IFERROR(INDEX('Opportunities'!$AB$6:$AB$205,MATCH($P195,'Opportunities'!$A$6:$A$205,0)),"")))</f>
        <v/>
      </c>
      <c r="AH195" s="74">
        <f>IF($A195="","",IF($P195="","",IFERROR(($U195+$V195-$J195-$K195)*24,0)))</f>
        <v/>
      </c>
      <c r="AI195" s="38">
        <f>IF($A195="","",IF($P195="","No load selected",IF($AH195&lt;IFERROR($Z195/'Settings'!$B$11,0)+'Settings'!$B$12,"Too tight",IF($AH195&gt;'Settings'!$B$13,"Long wait","Feasible"))))</f>
        <v/>
      </c>
      <c r="AJ195" s="41">
        <f>IF($A195="","",IF($P195="","",$N195-$Z195-$AB195))</f>
        <v/>
      </c>
      <c r="AK195" s="38">
        <f>IF($A195="","",IF(COUNTIF($A$6:$A$205,$A195)&gt;1,"Duplicate Trip ID",IF($P195="","Open",IF(COUNTIF('Opportunities'!$A$6:$A$205,$P195)=0,"Load ID not found",IF(COUNTIFS('Opportunities'!$A$6:$A$205,$P195,'Opportunities'!$B$6:$B$205,$A195)=0,"Trip mismatch",IF(COUNTIF($P$6:$P$205,$P195)&gt;1,"Duplicate selection",IF(AND(OR($O195="Booked",$O195="Completed"),AND($Q195&lt;&gt;"Booked",$Q195&lt;&gt;"Completed")),"Status mismatch","OK")))))))</f>
        <v/>
      </c>
      <c r="AL195" s="46" t="n"/>
    </row>
    <row r="196">
      <c r="A196" s="34" t="n"/>
      <c r="B196" s="34" t="n"/>
      <c r="C196" s="34" t="n"/>
      <c r="D196" s="34" t="n"/>
      <c r="E196" s="34" t="n"/>
      <c r="F196" s="34" t="n"/>
      <c r="G196" s="34" t="n"/>
      <c r="H196" s="69" t="n"/>
      <c r="I196" s="36" t="n"/>
      <c r="J196" s="69" t="n"/>
      <c r="K196" s="36" t="n"/>
      <c r="L196" s="34" t="n"/>
      <c r="M196" s="34" t="n"/>
      <c r="N196" s="37" t="n"/>
      <c r="O196" s="34" t="n"/>
      <c r="P196" s="34" t="n"/>
      <c r="Q196" s="38">
        <f>IF($A196="","",IF($P196="","",IFERROR(INDEX('Opportunities'!$C$6:$C$205,MATCH($P196,'Opportunities'!$A$6:$A$205,0)),"")))</f>
        <v/>
      </c>
      <c r="R196" s="38">
        <f>IF($A196="","",IF($P196="","",IFERROR(INDEX('Opportunities'!$D$6:$D$205,MATCH($P196,'Opportunities'!$A$6:$A$205,0)),"")))</f>
        <v/>
      </c>
      <c r="S196" s="38">
        <f>IF($A196="","",IF($P196="","",IFERROR(INDEX('Opportunities'!$E$6:$E$205,MATCH($P196,'Opportunities'!$A$6:$A$205,0)),"")))</f>
        <v/>
      </c>
      <c r="T196" s="38">
        <f>IF($A196="","",IF($P196="","",IFERROR(INDEX('Opportunities'!$F$6:$F$205,MATCH($P196,'Opportunities'!$A$6:$A$205,0)),"")))</f>
        <v/>
      </c>
      <c r="U196" s="70">
        <f>IF($A196="","",IF($P196="","",IFERROR(INDEX('Opportunities'!$G$6:$G$205,MATCH($P196,'Opportunities'!$A$6:$A$205,0)),"")))</f>
        <v/>
      </c>
      <c r="V196" s="40">
        <f>IF($A196="","",IF($P196="","",IFERROR(INDEX('Opportunities'!$H$6:$H$205,MATCH($P196,'Opportunities'!$A$6:$A$205,0)),"")))</f>
        <v/>
      </c>
      <c r="W196" s="38">
        <f>IF($A196="","",IF($P196="","",IFERROR(INDEX('Opportunities'!$I$6:$I$205,MATCH($P196,'Opportunities'!$A$6:$A$205,0)),"")))</f>
        <v/>
      </c>
      <c r="X196" s="38">
        <f>IF($A196="","",IF($P196="","",IFERROR(INDEX('Opportunities'!$J$6:$J$205,MATCH($P196,'Opportunities'!$A$6:$A$205,0)),"")))</f>
        <v/>
      </c>
      <c r="Y196" s="70">
        <f>IF($A196="","",IF($P196="","",IFERROR(INDEX('Opportunities'!$K$6:$K$205,MATCH($P196,'Opportunities'!$A$6:$A$205,0)),"")))</f>
        <v/>
      </c>
      <c r="Z196" s="41">
        <f>IF($A196="","",IF($P196="","",IFERROR(INDEX('Opportunities'!$O$6:$O$205,MATCH($P196,'Opportunities'!$A$6:$A$205,0)),"")))</f>
        <v/>
      </c>
      <c r="AA196" s="41">
        <f>IF($A196="","",IF($P196="","",IFERROR(INDEX('Opportunities'!$P$6:$P$205,MATCH($P196,'Opportunities'!$A$6:$A$205,0)),"")))</f>
        <v/>
      </c>
      <c r="AB196" s="41">
        <f>IF($A196="","",IF($P196="","",IFERROR(INDEX('Opportunities'!$Q$6:$Q$205,MATCH($P196,'Opportunities'!$A$6:$A$205,0)),"")))</f>
        <v/>
      </c>
      <c r="AC196" s="71">
        <f>IF($A196="","",IF($P196="","",IFERROR(INDEX('Opportunities'!$Z$6:$Z$205,MATCH($P196,'Opportunities'!$A$6:$A$205,0)),"")))</f>
        <v/>
      </c>
      <c r="AD196" s="71">
        <f>IF($A196="","",IF($P196="","",IFERROR(INDEX('Opportunities'!$AJ$6:$AJ$205,MATCH($P196,'Opportunities'!$A$6:$A$205,0)),"")))</f>
        <v/>
      </c>
      <c r="AE196" s="72">
        <f>IF($A196="","",IF($P196="","",IFERROR(INDEX('Opportunities'!$AA$6:$AA$205,MATCH($P196,'Opportunities'!$A$6:$A$205,0)),"")))</f>
        <v/>
      </c>
      <c r="AF196" s="73">
        <f>IF($A196="","",IF($P196="","",IFERROR(INDEX('Opportunities'!$AF$6:$AF$205,MATCH($P196,'Opportunities'!$A$6:$A$205,0)),"")))</f>
        <v/>
      </c>
      <c r="AG196" s="41">
        <f>IF($A196="","",IF($P196="","",IFERROR(INDEX('Opportunities'!$AB$6:$AB$205,MATCH($P196,'Opportunities'!$A$6:$A$205,0)),"")))</f>
        <v/>
      </c>
      <c r="AH196" s="74">
        <f>IF($A196="","",IF($P196="","",IFERROR(($U196+$V196-$J196-$K196)*24,0)))</f>
        <v/>
      </c>
      <c r="AI196" s="38">
        <f>IF($A196="","",IF($P196="","No load selected",IF($AH196&lt;IFERROR($Z196/'Settings'!$B$11,0)+'Settings'!$B$12,"Too tight",IF($AH196&gt;'Settings'!$B$13,"Long wait","Feasible"))))</f>
        <v/>
      </c>
      <c r="AJ196" s="41">
        <f>IF($A196="","",IF($P196="","",$N196-$Z196-$AB196))</f>
        <v/>
      </c>
      <c r="AK196" s="38">
        <f>IF($A196="","",IF(COUNTIF($A$6:$A$205,$A196)&gt;1,"Duplicate Trip ID",IF($P196="","Open",IF(COUNTIF('Opportunities'!$A$6:$A$205,$P196)=0,"Load ID not found",IF(COUNTIFS('Opportunities'!$A$6:$A$205,$P196,'Opportunities'!$B$6:$B$205,$A196)=0,"Trip mismatch",IF(COUNTIF($P$6:$P$205,$P196)&gt;1,"Duplicate selection",IF(AND(OR($O196="Booked",$O196="Completed"),AND($Q196&lt;&gt;"Booked",$Q196&lt;&gt;"Completed")),"Status mismatch","OK")))))))</f>
        <v/>
      </c>
      <c r="AL196" s="46" t="n"/>
    </row>
    <row r="197">
      <c r="A197" s="34" t="n"/>
      <c r="B197" s="34" t="n"/>
      <c r="C197" s="34" t="n"/>
      <c r="D197" s="34" t="n"/>
      <c r="E197" s="34" t="n"/>
      <c r="F197" s="34" t="n"/>
      <c r="G197" s="34" t="n"/>
      <c r="H197" s="69" t="n"/>
      <c r="I197" s="36" t="n"/>
      <c r="J197" s="69" t="n"/>
      <c r="K197" s="36" t="n"/>
      <c r="L197" s="34" t="n"/>
      <c r="M197" s="34" t="n"/>
      <c r="N197" s="37" t="n"/>
      <c r="O197" s="34" t="n"/>
      <c r="P197" s="34" t="n"/>
      <c r="Q197" s="38">
        <f>IF($A197="","",IF($P197="","",IFERROR(INDEX('Opportunities'!$C$6:$C$205,MATCH($P197,'Opportunities'!$A$6:$A$205,0)),"")))</f>
        <v/>
      </c>
      <c r="R197" s="38">
        <f>IF($A197="","",IF($P197="","",IFERROR(INDEX('Opportunities'!$D$6:$D$205,MATCH($P197,'Opportunities'!$A$6:$A$205,0)),"")))</f>
        <v/>
      </c>
      <c r="S197" s="38">
        <f>IF($A197="","",IF($P197="","",IFERROR(INDEX('Opportunities'!$E$6:$E$205,MATCH($P197,'Opportunities'!$A$6:$A$205,0)),"")))</f>
        <v/>
      </c>
      <c r="T197" s="38">
        <f>IF($A197="","",IF($P197="","",IFERROR(INDEX('Opportunities'!$F$6:$F$205,MATCH($P197,'Opportunities'!$A$6:$A$205,0)),"")))</f>
        <v/>
      </c>
      <c r="U197" s="70">
        <f>IF($A197="","",IF($P197="","",IFERROR(INDEX('Opportunities'!$G$6:$G$205,MATCH($P197,'Opportunities'!$A$6:$A$205,0)),"")))</f>
        <v/>
      </c>
      <c r="V197" s="40">
        <f>IF($A197="","",IF($P197="","",IFERROR(INDEX('Opportunities'!$H$6:$H$205,MATCH($P197,'Opportunities'!$A$6:$A$205,0)),"")))</f>
        <v/>
      </c>
      <c r="W197" s="38">
        <f>IF($A197="","",IF($P197="","",IFERROR(INDEX('Opportunities'!$I$6:$I$205,MATCH($P197,'Opportunities'!$A$6:$A$205,0)),"")))</f>
        <v/>
      </c>
      <c r="X197" s="38">
        <f>IF($A197="","",IF($P197="","",IFERROR(INDEX('Opportunities'!$J$6:$J$205,MATCH($P197,'Opportunities'!$A$6:$A$205,0)),"")))</f>
        <v/>
      </c>
      <c r="Y197" s="70">
        <f>IF($A197="","",IF($P197="","",IFERROR(INDEX('Opportunities'!$K$6:$K$205,MATCH($P197,'Opportunities'!$A$6:$A$205,0)),"")))</f>
        <v/>
      </c>
      <c r="Z197" s="41">
        <f>IF($A197="","",IF($P197="","",IFERROR(INDEX('Opportunities'!$O$6:$O$205,MATCH($P197,'Opportunities'!$A$6:$A$205,0)),"")))</f>
        <v/>
      </c>
      <c r="AA197" s="41">
        <f>IF($A197="","",IF($P197="","",IFERROR(INDEX('Opportunities'!$P$6:$P$205,MATCH($P197,'Opportunities'!$A$6:$A$205,0)),"")))</f>
        <v/>
      </c>
      <c r="AB197" s="41">
        <f>IF($A197="","",IF($P197="","",IFERROR(INDEX('Opportunities'!$Q$6:$Q$205,MATCH($P197,'Opportunities'!$A$6:$A$205,0)),"")))</f>
        <v/>
      </c>
      <c r="AC197" s="71">
        <f>IF($A197="","",IF($P197="","",IFERROR(INDEX('Opportunities'!$Z$6:$Z$205,MATCH($P197,'Opportunities'!$A$6:$A$205,0)),"")))</f>
        <v/>
      </c>
      <c r="AD197" s="71">
        <f>IF($A197="","",IF($P197="","",IFERROR(INDEX('Opportunities'!$AJ$6:$AJ$205,MATCH($P197,'Opportunities'!$A$6:$A$205,0)),"")))</f>
        <v/>
      </c>
      <c r="AE197" s="72">
        <f>IF($A197="","",IF($P197="","",IFERROR(INDEX('Opportunities'!$AA$6:$AA$205,MATCH($P197,'Opportunities'!$A$6:$A$205,0)),"")))</f>
        <v/>
      </c>
      <c r="AF197" s="73">
        <f>IF($A197="","",IF($P197="","",IFERROR(INDEX('Opportunities'!$AF$6:$AF$205,MATCH($P197,'Opportunities'!$A$6:$A$205,0)),"")))</f>
        <v/>
      </c>
      <c r="AG197" s="41">
        <f>IF($A197="","",IF($P197="","",IFERROR(INDEX('Opportunities'!$AB$6:$AB$205,MATCH($P197,'Opportunities'!$A$6:$A$205,0)),"")))</f>
        <v/>
      </c>
      <c r="AH197" s="74">
        <f>IF($A197="","",IF($P197="","",IFERROR(($U197+$V197-$J197-$K197)*24,0)))</f>
        <v/>
      </c>
      <c r="AI197" s="38">
        <f>IF($A197="","",IF($P197="","No load selected",IF($AH197&lt;IFERROR($Z197/'Settings'!$B$11,0)+'Settings'!$B$12,"Too tight",IF($AH197&gt;'Settings'!$B$13,"Long wait","Feasible"))))</f>
        <v/>
      </c>
      <c r="AJ197" s="41">
        <f>IF($A197="","",IF($P197="","",$N197-$Z197-$AB197))</f>
        <v/>
      </c>
      <c r="AK197" s="38">
        <f>IF($A197="","",IF(COUNTIF($A$6:$A$205,$A197)&gt;1,"Duplicate Trip ID",IF($P197="","Open",IF(COUNTIF('Opportunities'!$A$6:$A$205,$P197)=0,"Load ID not found",IF(COUNTIFS('Opportunities'!$A$6:$A$205,$P197,'Opportunities'!$B$6:$B$205,$A197)=0,"Trip mismatch",IF(COUNTIF($P$6:$P$205,$P197)&gt;1,"Duplicate selection",IF(AND(OR($O197="Booked",$O197="Completed"),AND($Q197&lt;&gt;"Booked",$Q197&lt;&gt;"Completed")),"Status mismatch","OK")))))))</f>
        <v/>
      </c>
      <c r="AL197" s="46" t="n"/>
    </row>
    <row r="198">
      <c r="A198" s="34" t="n"/>
      <c r="B198" s="34" t="n"/>
      <c r="C198" s="34" t="n"/>
      <c r="D198" s="34" t="n"/>
      <c r="E198" s="34" t="n"/>
      <c r="F198" s="34" t="n"/>
      <c r="G198" s="34" t="n"/>
      <c r="H198" s="69" t="n"/>
      <c r="I198" s="36" t="n"/>
      <c r="J198" s="69" t="n"/>
      <c r="K198" s="36" t="n"/>
      <c r="L198" s="34" t="n"/>
      <c r="M198" s="34" t="n"/>
      <c r="N198" s="37" t="n"/>
      <c r="O198" s="34" t="n"/>
      <c r="P198" s="34" t="n"/>
      <c r="Q198" s="38">
        <f>IF($A198="","",IF($P198="","",IFERROR(INDEX('Opportunities'!$C$6:$C$205,MATCH($P198,'Opportunities'!$A$6:$A$205,0)),"")))</f>
        <v/>
      </c>
      <c r="R198" s="38">
        <f>IF($A198="","",IF($P198="","",IFERROR(INDEX('Opportunities'!$D$6:$D$205,MATCH($P198,'Opportunities'!$A$6:$A$205,0)),"")))</f>
        <v/>
      </c>
      <c r="S198" s="38">
        <f>IF($A198="","",IF($P198="","",IFERROR(INDEX('Opportunities'!$E$6:$E$205,MATCH($P198,'Opportunities'!$A$6:$A$205,0)),"")))</f>
        <v/>
      </c>
      <c r="T198" s="38">
        <f>IF($A198="","",IF($P198="","",IFERROR(INDEX('Opportunities'!$F$6:$F$205,MATCH($P198,'Opportunities'!$A$6:$A$205,0)),"")))</f>
        <v/>
      </c>
      <c r="U198" s="70">
        <f>IF($A198="","",IF($P198="","",IFERROR(INDEX('Opportunities'!$G$6:$G$205,MATCH($P198,'Opportunities'!$A$6:$A$205,0)),"")))</f>
        <v/>
      </c>
      <c r="V198" s="40">
        <f>IF($A198="","",IF($P198="","",IFERROR(INDEX('Opportunities'!$H$6:$H$205,MATCH($P198,'Opportunities'!$A$6:$A$205,0)),"")))</f>
        <v/>
      </c>
      <c r="W198" s="38">
        <f>IF($A198="","",IF($P198="","",IFERROR(INDEX('Opportunities'!$I$6:$I$205,MATCH($P198,'Opportunities'!$A$6:$A$205,0)),"")))</f>
        <v/>
      </c>
      <c r="X198" s="38">
        <f>IF($A198="","",IF($P198="","",IFERROR(INDEX('Opportunities'!$J$6:$J$205,MATCH($P198,'Opportunities'!$A$6:$A$205,0)),"")))</f>
        <v/>
      </c>
      <c r="Y198" s="70">
        <f>IF($A198="","",IF($P198="","",IFERROR(INDEX('Opportunities'!$K$6:$K$205,MATCH($P198,'Opportunities'!$A$6:$A$205,0)),"")))</f>
        <v/>
      </c>
      <c r="Z198" s="41">
        <f>IF($A198="","",IF($P198="","",IFERROR(INDEX('Opportunities'!$O$6:$O$205,MATCH($P198,'Opportunities'!$A$6:$A$205,0)),"")))</f>
        <v/>
      </c>
      <c r="AA198" s="41">
        <f>IF($A198="","",IF($P198="","",IFERROR(INDEX('Opportunities'!$P$6:$P$205,MATCH($P198,'Opportunities'!$A$6:$A$205,0)),"")))</f>
        <v/>
      </c>
      <c r="AB198" s="41">
        <f>IF($A198="","",IF($P198="","",IFERROR(INDEX('Opportunities'!$Q$6:$Q$205,MATCH($P198,'Opportunities'!$A$6:$A$205,0)),"")))</f>
        <v/>
      </c>
      <c r="AC198" s="71">
        <f>IF($A198="","",IF($P198="","",IFERROR(INDEX('Opportunities'!$Z$6:$Z$205,MATCH($P198,'Opportunities'!$A$6:$A$205,0)),"")))</f>
        <v/>
      </c>
      <c r="AD198" s="71">
        <f>IF($A198="","",IF($P198="","",IFERROR(INDEX('Opportunities'!$AJ$6:$AJ$205,MATCH($P198,'Opportunities'!$A$6:$A$205,0)),"")))</f>
        <v/>
      </c>
      <c r="AE198" s="72">
        <f>IF($A198="","",IF($P198="","",IFERROR(INDEX('Opportunities'!$AA$6:$AA$205,MATCH($P198,'Opportunities'!$A$6:$A$205,0)),"")))</f>
        <v/>
      </c>
      <c r="AF198" s="73">
        <f>IF($A198="","",IF($P198="","",IFERROR(INDEX('Opportunities'!$AF$6:$AF$205,MATCH($P198,'Opportunities'!$A$6:$A$205,0)),"")))</f>
        <v/>
      </c>
      <c r="AG198" s="41">
        <f>IF($A198="","",IF($P198="","",IFERROR(INDEX('Opportunities'!$AB$6:$AB$205,MATCH($P198,'Opportunities'!$A$6:$A$205,0)),"")))</f>
        <v/>
      </c>
      <c r="AH198" s="74">
        <f>IF($A198="","",IF($P198="","",IFERROR(($U198+$V198-$J198-$K198)*24,0)))</f>
        <v/>
      </c>
      <c r="AI198" s="38">
        <f>IF($A198="","",IF($P198="","No load selected",IF($AH198&lt;IFERROR($Z198/'Settings'!$B$11,0)+'Settings'!$B$12,"Too tight",IF($AH198&gt;'Settings'!$B$13,"Long wait","Feasible"))))</f>
        <v/>
      </c>
      <c r="AJ198" s="41">
        <f>IF($A198="","",IF($P198="","",$N198-$Z198-$AB198))</f>
        <v/>
      </c>
      <c r="AK198" s="38">
        <f>IF($A198="","",IF(COUNTIF($A$6:$A$205,$A198)&gt;1,"Duplicate Trip ID",IF($P198="","Open",IF(COUNTIF('Opportunities'!$A$6:$A$205,$P198)=0,"Load ID not found",IF(COUNTIFS('Opportunities'!$A$6:$A$205,$P198,'Opportunities'!$B$6:$B$205,$A198)=0,"Trip mismatch",IF(COUNTIF($P$6:$P$205,$P198)&gt;1,"Duplicate selection",IF(AND(OR($O198="Booked",$O198="Completed"),AND($Q198&lt;&gt;"Booked",$Q198&lt;&gt;"Completed")),"Status mismatch","OK")))))))</f>
        <v/>
      </c>
      <c r="AL198" s="46" t="n"/>
    </row>
    <row r="199">
      <c r="A199" s="34" t="n"/>
      <c r="B199" s="34" t="n"/>
      <c r="C199" s="34" t="n"/>
      <c r="D199" s="34" t="n"/>
      <c r="E199" s="34" t="n"/>
      <c r="F199" s="34" t="n"/>
      <c r="G199" s="34" t="n"/>
      <c r="H199" s="69" t="n"/>
      <c r="I199" s="36" t="n"/>
      <c r="J199" s="69" t="n"/>
      <c r="K199" s="36" t="n"/>
      <c r="L199" s="34" t="n"/>
      <c r="M199" s="34" t="n"/>
      <c r="N199" s="37" t="n"/>
      <c r="O199" s="34" t="n"/>
      <c r="P199" s="34" t="n"/>
      <c r="Q199" s="38">
        <f>IF($A199="","",IF($P199="","",IFERROR(INDEX('Opportunities'!$C$6:$C$205,MATCH($P199,'Opportunities'!$A$6:$A$205,0)),"")))</f>
        <v/>
      </c>
      <c r="R199" s="38">
        <f>IF($A199="","",IF($P199="","",IFERROR(INDEX('Opportunities'!$D$6:$D$205,MATCH($P199,'Opportunities'!$A$6:$A$205,0)),"")))</f>
        <v/>
      </c>
      <c r="S199" s="38">
        <f>IF($A199="","",IF($P199="","",IFERROR(INDEX('Opportunities'!$E$6:$E$205,MATCH($P199,'Opportunities'!$A$6:$A$205,0)),"")))</f>
        <v/>
      </c>
      <c r="T199" s="38">
        <f>IF($A199="","",IF($P199="","",IFERROR(INDEX('Opportunities'!$F$6:$F$205,MATCH($P199,'Opportunities'!$A$6:$A$205,0)),"")))</f>
        <v/>
      </c>
      <c r="U199" s="70">
        <f>IF($A199="","",IF($P199="","",IFERROR(INDEX('Opportunities'!$G$6:$G$205,MATCH($P199,'Opportunities'!$A$6:$A$205,0)),"")))</f>
        <v/>
      </c>
      <c r="V199" s="40">
        <f>IF($A199="","",IF($P199="","",IFERROR(INDEX('Opportunities'!$H$6:$H$205,MATCH($P199,'Opportunities'!$A$6:$A$205,0)),"")))</f>
        <v/>
      </c>
      <c r="W199" s="38">
        <f>IF($A199="","",IF($P199="","",IFERROR(INDEX('Opportunities'!$I$6:$I$205,MATCH($P199,'Opportunities'!$A$6:$A$205,0)),"")))</f>
        <v/>
      </c>
      <c r="X199" s="38">
        <f>IF($A199="","",IF($P199="","",IFERROR(INDEX('Opportunities'!$J$6:$J$205,MATCH($P199,'Opportunities'!$A$6:$A$205,0)),"")))</f>
        <v/>
      </c>
      <c r="Y199" s="70">
        <f>IF($A199="","",IF($P199="","",IFERROR(INDEX('Opportunities'!$K$6:$K$205,MATCH($P199,'Opportunities'!$A$6:$A$205,0)),"")))</f>
        <v/>
      </c>
      <c r="Z199" s="41">
        <f>IF($A199="","",IF($P199="","",IFERROR(INDEX('Opportunities'!$O$6:$O$205,MATCH($P199,'Opportunities'!$A$6:$A$205,0)),"")))</f>
        <v/>
      </c>
      <c r="AA199" s="41">
        <f>IF($A199="","",IF($P199="","",IFERROR(INDEX('Opportunities'!$P$6:$P$205,MATCH($P199,'Opportunities'!$A$6:$A$205,0)),"")))</f>
        <v/>
      </c>
      <c r="AB199" s="41">
        <f>IF($A199="","",IF($P199="","",IFERROR(INDEX('Opportunities'!$Q$6:$Q$205,MATCH($P199,'Opportunities'!$A$6:$A$205,0)),"")))</f>
        <v/>
      </c>
      <c r="AC199" s="71">
        <f>IF($A199="","",IF($P199="","",IFERROR(INDEX('Opportunities'!$Z$6:$Z$205,MATCH($P199,'Opportunities'!$A$6:$A$205,0)),"")))</f>
        <v/>
      </c>
      <c r="AD199" s="71">
        <f>IF($A199="","",IF($P199="","",IFERROR(INDEX('Opportunities'!$AJ$6:$AJ$205,MATCH($P199,'Opportunities'!$A$6:$A$205,0)),"")))</f>
        <v/>
      </c>
      <c r="AE199" s="72">
        <f>IF($A199="","",IF($P199="","",IFERROR(INDEX('Opportunities'!$AA$6:$AA$205,MATCH($P199,'Opportunities'!$A$6:$A$205,0)),"")))</f>
        <v/>
      </c>
      <c r="AF199" s="73">
        <f>IF($A199="","",IF($P199="","",IFERROR(INDEX('Opportunities'!$AF$6:$AF$205,MATCH($P199,'Opportunities'!$A$6:$A$205,0)),"")))</f>
        <v/>
      </c>
      <c r="AG199" s="41">
        <f>IF($A199="","",IF($P199="","",IFERROR(INDEX('Opportunities'!$AB$6:$AB$205,MATCH($P199,'Opportunities'!$A$6:$A$205,0)),"")))</f>
        <v/>
      </c>
      <c r="AH199" s="74">
        <f>IF($A199="","",IF($P199="","",IFERROR(($U199+$V199-$J199-$K199)*24,0)))</f>
        <v/>
      </c>
      <c r="AI199" s="38">
        <f>IF($A199="","",IF($P199="","No load selected",IF($AH199&lt;IFERROR($Z199/'Settings'!$B$11,0)+'Settings'!$B$12,"Too tight",IF($AH199&gt;'Settings'!$B$13,"Long wait","Feasible"))))</f>
        <v/>
      </c>
      <c r="AJ199" s="41">
        <f>IF($A199="","",IF($P199="","",$N199-$Z199-$AB199))</f>
        <v/>
      </c>
      <c r="AK199" s="38">
        <f>IF($A199="","",IF(COUNTIF($A$6:$A$205,$A199)&gt;1,"Duplicate Trip ID",IF($P199="","Open",IF(COUNTIF('Opportunities'!$A$6:$A$205,$P199)=0,"Load ID not found",IF(COUNTIFS('Opportunities'!$A$6:$A$205,$P199,'Opportunities'!$B$6:$B$205,$A199)=0,"Trip mismatch",IF(COUNTIF($P$6:$P$205,$P199)&gt;1,"Duplicate selection",IF(AND(OR($O199="Booked",$O199="Completed"),AND($Q199&lt;&gt;"Booked",$Q199&lt;&gt;"Completed")),"Status mismatch","OK")))))))</f>
        <v/>
      </c>
      <c r="AL199" s="46" t="n"/>
    </row>
    <row r="200">
      <c r="A200" s="34" t="n"/>
      <c r="B200" s="34" t="n"/>
      <c r="C200" s="34" t="n"/>
      <c r="D200" s="34" t="n"/>
      <c r="E200" s="34" t="n"/>
      <c r="F200" s="34" t="n"/>
      <c r="G200" s="34" t="n"/>
      <c r="H200" s="69" t="n"/>
      <c r="I200" s="36" t="n"/>
      <c r="J200" s="69" t="n"/>
      <c r="K200" s="36" t="n"/>
      <c r="L200" s="34" t="n"/>
      <c r="M200" s="34" t="n"/>
      <c r="N200" s="37" t="n"/>
      <c r="O200" s="34" t="n"/>
      <c r="P200" s="34" t="n"/>
      <c r="Q200" s="38">
        <f>IF($A200="","",IF($P200="","",IFERROR(INDEX('Opportunities'!$C$6:$C$205,MATCH($P200,'Opportunities'!$A$6:$A$205,0)),"")))</f>
        <v/>
      </c>
      <c r="R200" s="38">
        <f>IF($A200="","",IF($P200="","",IFERROR(INDEX('Opportunities'!$D$6:$D$205,MATCH($P200,'Opportunities'!$A$6:$A$205,0)),"")))</f>
        <v/>
      </c>
      <c r="S200" s="38">
        <f>IF($A200="","",IF($P200="","",IFERROR(INDEX('Opportunities'!$E$6:$E$205,MATCH($P200,'Opportunities'!$A$6:$A$205,0)),"")))</f>
        <v/>
      </c>
      <c r="T200" s="38">
        <f>IF($A200="","",IF($P200="","",IFERROR(INDEX('Opportunities'!$F$6:$F$205,MATCH($P200,'Opportunities'!$A$6:$A$205,0)),"")))</f>
        <v/>
      </c>
      <c r="U200" s="70">
        <f>IF($A200="","",IF($P200="","",IFERROR(INDEX('Opportunities'!$G$6:$G$205,MATCH($P200,'Opportunities'!$A$6:$A$205,0)),"")))</f>
        <v/>
      </c>
      <c r="V200" s="40">
        <f>IF($A200="","",IF($P200="","",IFERROR(INDEX('Opportunities'!$H$6:$H$205,MATCH($P200,'Opportunities'!$A$6:$A$205,0)),"")))</f>
        <v/>
      </c>
      <c r="W200" s="38">
        <f>IF($A200="","",IF($P200="","",IFERROR(INDEX('Opportunities'!$I$6:$I$205,MATCH($P200,'Opportunities'!$A$6:$A$205,0)),"")))</f>
        <v/>
      </c>
      <c r="X200" s="38">
        <f>IF($A200="","",IF($P200="","",IFERROR(INDEX('Opportunities'!$J$6:$J$205,MATCH($P200,'Opportunities'!$A$6:$A$205,0)),"")))</f>
        <v/>
      </c>
      <c r="Y200" s="70">
        <f>IF($A200="","",IF($P200="","",IFERROR(INDEX('Opportunities'!$K$6:$K$205,MATCH($P200,'Opportunities'!$A$6:$A$205,0)),"")))</f>
        <v/>
      </c>
      <c r="Z200" s="41">
        <f>IF($A200="","",IF($P200="","",IFERROR(INDEX('Opportunities'!$O$6:$O$205,MATCH($P200,'Opportunities'!$A$6:$A$205,0)),"")))</f>
        <v/>
      </c>
      <c r="AA200" s="41">
        <f>IF($A200="","",IF($P200="","",IFERROR(INDEX('Opportunities'!$P$6:$P$205,MATCH($P200,'Opportunities'!$A$6:$A$205,0)),"")))</f>
        <v/>
      </c>
      <c r="AB200" s="41">
        <f>IF($A200="","",IF($P200="","",IFERROR(INDEX('Opportunities'!$Q$6:$Q$205,MATCH($P200,'Opportunities'!$A$6:$A$205,0)),"")))</f>
        <v/>
      </c>
      <c r="AC200" s="71">
        <f>IF($A200="","",IF($P200="","",IFERROR(INDEX('Opportunities'!$Z$6:$Z$205,MATCH($P200,'Opportunities'!$A$6:$A$205,0)),"")))</f>
        <v/>
      </c>
      <c r="AD200" s="71">
        <f>IF($A200="","",IF($P200="","",IFERROR(INDEX('Opportunities'!$AJ$6:$AJ$205,MATCH($P200,'Opportunities'!$A$6:$A$205,0)),"")))</f>
        <v/>
      </c>
      <c r="AE200" s="72">
        <f>IF($A200="","",IF($P200="","",IFERROR(INDEX('Opportunities'!$AA$6:$AA$205,MATCH($P200,'Opportunities'!$A$6:$A$205,0)),"")))</f>
        <v/>
      </c>
      <c r="AF200" s="73">
        <f>IF($A200="","",IF($P200="","",IFERROR(INDEX('Opportunities'!$AF$6:$AF$205,MATCH($P200,'Opportunities'!$A$6:$A$205,0)),"")))</f>
        <v/>
      </c>
      <c r="AG200" s="41">
        <f>IF($A200="","",IF($P200="","",IFERROR(INDEX('Opportunities'!$AB$6:$AB$205,MATCH($P200,'Opportunities'!$A$6:$A$205,0)),"")))</f>
        <v/>
      </c>
      <c r="AH200" s="74">
        <f>IF($A200="","",IF($P200="","",IFERROR(($U200+$V200-$J200-$K200)*24,0)))</f>
        <v/>
      </c>
      <c r="AI200" s="38">
        <f>IF($A200="","",IF($P200="","No load selected",IF($AH200&lt;IFERROR($Z200/'Settings'!$B$11,0)+'Settings'!$B$12,"Too tight",IF($AH200&gt;'Settings'!$B$13,"Long wait","Feasible"))))</f>
        <v/>
      </c>
      <c r="AJ200" s="41">
        <f>IF($A200="","",IF($P200="","",$N200-$Z200-$AB200))</f>
        <v/>
      </c>
      <c r="AK200" s="38">
        <f>IF($A200="","",IF(COUNTIF($A$6:$A$205,$A200)&gt;1,"Duplicate Trip ID",IF($P200="","Open",IF(COUNTIF('Opportunities'!$A$6:$A$205,$P200)=0,"Load ID not found",IF(COUNTIFS('Opportunities'!$A$6:$A$205,$P200,'Opportunities'!$B$6:$B$205,$A200)=0,"Trip mismatch",IF(COUNTIF($P$6:$P$205,$P200)&gt;1,"Duplicate selection",IF(AND(OR($O200="Booked",$O200="Completed"),AND($Q200&lt;&gt;"Booked",$Q200&lt;&gt;"Completed")),"Status mismatch","OK")))))))</f>
        <v/>
      </c>
      <c r="AL200" s="46" t="n"/>
    </row>
    <row r="201">
      <c r="A201" s="34" t="n"/>
      <c r="B201" s="34" t="n"/>
      <c r="C201" s="34" t="n"/>
      <c r="D201" s="34" t="n"/>
      <c r="E201" s="34" t="n"/>
      <c r="F201" s="34" t="n"/>
      <c r="G201" s="34" t="n"/>
      <c r="H201" s="69" t="n"/>
      <c r="I201" s="36" t="n"/>
      <c r="J201" s="69" t="n"/>
      <c r="K201" s="36" t="n"/>
      <c r="L201" s="34" t="n"/>
      <c r="M201" s="34" t="n"/>
      <c r="N201" s="37" t="n"/>
      <c r="O201" s="34" t="n"/>
      <c r="P201" s="34" t="n"/>
      <c r="Q201" s="38">
        <f>IF($A201="","",IF($P201="","",IFERROR(INDEX('Opportunities'!$C$6:$C$205,MATCH($P201,'Opportunities'!$A$6:$A$205,0)),"")))</f>
        <v/>
      </c>
      <c r="R201" s="38">
        <f>IF($A201="","",IF($P201="","",IFERROR(INDEX('Opportunities'!$D$6:$D$205,MATCH($P201,'Opportunities'!$A$6:$A$205,0)),"")))</f>
        <v/>
      </c>
      <c r="S201" s="38">
        <f>IF($A201="","",IF($P201="","",IFERROR(INDEX('Opportunities'!$E$6:$E$205,MATCH($P201,'Opportunities'!$A$6:$A$205,0)),"")))</f>
        <v/>
      </c>
      <c r="T201" s="38">
        <f>IF($A201="","",IF($P201="","",IFERROR(INDEX('Opportunities'!$F$6:$F$205,MATCH($P201,'Opportunities'!$A$6:$A$205,0)),"")))</f>
        <v/>
      </c>
      <c r="U201" s="70">
        <f>IF($A201="","",IF($P201="","",IFERROR(INDEX('Opportunities'!$G$6:$G$205,MATCH($P201,'Opportunities'!$A$6:$A$205,0)),"")))</f>
        <v/>
      </c>
      <c r="V201" s="40">
        <f>IF($A201="","",IF($P201="","",IFERROR(INDEX('Opportunities'!$H$6:$H$205,MATCH($P201,'Opportunities'!$A$6:$A$205,0)),"")))</f>
        <v/>
      </c>
      <c r="W201" s="38">
        <f>IF($A201="","",IF($P201="","",IFERROR(INDEX('Opportunities'!$I$6:$I$205,MATCH($P201,'Opportunities'!$A$6:$A$205,0)),"")))</f>
        <v/>
      </c>
      <c r="X201" s="38">
        <f>IF($A201="","",IF($P201="","",IFERROR(INDEX('Opportunities'!$J$6:$J$205,MATCH($P201,'Opportunities'!$A$6:$A$205,0)),"")))</f>
        <v/>
      </c>
      <c r="Y201" s="70">
        <f>IF($A201="","",IF($P201="","",IFERROR(INDEX('Opportunities'!$K$6:$K$205,MATCH($P201,'Opportunities'!$A$6:$A$205,0)),"")))</f>
        <v/>
      </c>
      <c r="Z201" s="41">
        <f>IF($A201="","",IF($P201="","",IFERROR(INDEX('Opportunities'!$O$6:$O$205,MATCH($P201,'Opportunities'!$A$6:$A$205,0)),"")))</f>
        <v/>
      </c>
      <c r="AA201" s="41">
        <f>IF($A201="","",IF($P201="","",IFERROR(INDEX('Opportunities'!$P$6:$P$205,MATCH($P201,'Opportunities'!$A$6:$A$205,0)),"")))</f>
        <v/>
      </c>
      <c r="AB201" s="41">
        <f>IF($A201="","",IF($P201="","",IFERROR(INDEX('Opportunities'!$Q$6:$Q$205,MATCH($P201,'Opportunities'!$A$6:$A$205,0)),"")))</f>
        <v/>
      </c>
      <c r="AC201" s="71">
        <f>IF($A201="","",IF($P201="","",IFERROR(INDEX('Opportunities'!$Z$6:$Z$205,MATCH($P201,'Opportunities'!$A$6:$A$205,0)),"")))</f>
        <v/>
      </c>
      <c r="AD201" s="71">
        <f>IF($A201="","",IF($P201="","",IFERROR(INDEX('Opportunities'!$AJ$6:$AJ$205,MATCH($P201,'Opportunities'!$A$6:$A$205,0)),"")))</f>
        <v/>
      </c>
      <c r="AE201" s="72">
        <f>IF($A201="","",IF($P201="","",IFERROR(INDEX('Opportunities'!$AA$6:$AA$205,MATCH($P201,'Opportunities'!$A$6:$A$205,0)),"")))</f>
        <v/>
      </c>
      <c r="AF201" s="73">
        <f>IF($A201="","",IF($P201="","",IFERROR(INDEX('Opportunities'!$AF$6:$AF$205,MATCH($P201,'Opportunities'!$A$6:$A$205,0)),"")))</f>
        <v/>
      </c>
      <c r="AG201" s="41">
        <f>IF($A201="","",IF($P201="","",IFERROR(INDEX('Opportunities'!$AB$6:$AB$205,MATCH($P201,'Opportunities'!$A$6:$A$205,0)),"")))</f>
        <v/>
      </c>
      <c r="AH201" s="74">
        <f>IF($A201="","",IF($P201="","",IFERROR(($U201+$V201-$J201-$K201)*24,0)))</f>
        <v/>
      </c>
      <c r="AI201" s="38">
        <f>IF($A201="","",IF($P201="","No load selected",IF($AH201&lt;IFERROR($Z201/'Settings'!$B$11,0)+'Settings'!$B$12,"Too tight",IF($AH201&gt;'Settings'!$B$13,"Long wait","Feasible"))))</f>
        <v/>
      </c>
      <c r="AJ201" s="41">
        <f>IF($A201="","",IF($P201="","",$N201-$Z201-$AB201))</f>
        <v/>
      </c>
      <c r="AK201" s="38">
        <f>IF($A201="","",IF(COUNTIF($A$6:$A$205,$A201)&gt;1,"Duplicate Trip ID",IF($P201="","Open",IF(COUNTIF('Opportunities'!$A$6:$A$205,$P201)=0,"Load ID not found",IF(COUNTIFS('Opportunities'!$A$6:$A$205,$P201,'Opportunities'!$B$6:$B$205,$A201)=0,"Trip mismatch",IF(COUNTIF($P$6:$P$205,$P201)&gt;1,"Duplicate selection",IF(AND(OR($O201="Booked",$O201="Completed"),AND($Q201&lt;&gt;"Booked",$Q201&lt;&gt;"Completed")),"Status mismatch","OK")))))))</f>
        <v/>
      </c>
      <c r="AL201" s="46" t="n"/>
    </row>
    <row r="202">
      <c r="A202" s="34" t="n"/>
      <c r="B202" s="34" t="n"/>
      <c r="C202" s="34" t="n"/>
      <c r="D202" s="34" t="n"/>
      <c r="E202" s="34" t="n"/>
      <c r="F202" s="34" t="n"/>
      <c r="G202" s="34" t="n"/>
      <c r="H202" s="69" t="n"/>
      <c r="I202" s="36" t="n"/>
      <c r="J202" s="69" t="n"/>
      <c r="K202" s="36" t="n"/>
      <c r="L202" s="34" t="n"/>
      <c r="M202" s="34" t="n"/>
      <c r="N202" s="37" t="n"/>
      <c r="O202" s="34" t="n"/>
      <c r="P202" s="34" t="n"/>
      <c r="Q202" s="38">
        <f>IF($A202="","",IF($P202="","",IFERROR(INDEX('Opportunities'!$C$6:$C$205,MATCH($P202,'Opportunities'!$A$6:$A$205,0)),"")))</f>
        <v/>
      </c>
      <c r="R202" s="38">
        <f>IF($A202="","",IF($P202="","",IFERROR(INDEX('Opportunities'!$D$6:$D$205,MATCH($P202,'Opportunities'!$A$6:$A$205,0)),"")))</f>
        <v/>
      </c>
      <c r="S202" s="38">
        <f>IF($A202="","",IF($P202="","",IFERROR(INDEX('Opportunities'!$E$6:$E$205,MATCH($P202,'Opportunities'!$A$6:$A$205,0)),"")))</f>
        <v/>
      </c>
      <c r="T202" s="38">
        <f>IF($A202="","",IF($P202="","",IFERROR(INDEX('Opportunities'!$F$6:$F$205,MATCH($P202,'Opportunities'!$A$6:$A$205,0)),"")))</f>
        <v/>
      </c>
      <c r="U202" s="70">
        <f>IF($A202="","",IF($P202="","",IFERROR(INDEX('Opportunities'!$G$6:$G$205,MATCH($P202,'Opportunities'!$A$6:$A$205,0)),"")))</f>
        <v/>
      </c>
      <c r="V202" s="40">
        <f>IF($A202="","",IF($P202="","",IFERROR(INDEX('Opportunities'!$H$6:$H$205,MATCH($P202,'Opportunities'!$A$6:$A$205,0)),"")))</f>
        <v/>
      </c>
      <c r="W202" s="38">
        <f>IF($A202="","",IF($P202="","",IFERROR(INDEX('Opportunities'!$I$6:$I$205,MATCH($P202,'Opportunities'!$A$6:$A$205,0)),"")))</f>
        <v/>
      </c>
      <c r="X202" s="38">
        <f>IF($A202="","",IF($P202="","",IFERROR(INDEX('Opportunities'!$J$6:$J$205,MATCH($P202,'Opportunities'!$A$6:$A$205,0)),"")))</f>
        <v/>
      </c>
      <c r="Y202" s="70">
        <f>IF($A202="","",IF($P202="","",IFERROR(INDEX('Opportunities'!$K$6:$K$205,MATCH($P202,'Opportunities'!$A$6:$A$205,0)),"")))</f>
        <v/>
      </c>
      <c r="Z202" s="41">
        <f>IF($A202="","",IF($P202="","",IFERROR(INDEX('Opportunities'!$O$6:$O$205,MATCH($P202,'Opportunities'!$A$6:$A$205,0)),"")))</f>
        <v/>
      </c>
      <c r="AA202" s="41">
        <f>IF($A202="","",IF($P202="","",IFERROR(INDEX('Opportunities'!$P$6:$P$205,MATCH($P202,'Opportunities'!$A$6:$A$205,0)),"")))</f>
        <v/>
      </c>
      <c r="AB202" s="41">
        <f>IF($A202="","",IF($P202="","",IFERROR(INDEX('Opportunities'!$Q$6:$Q$205,MATCH($P202,'Opportunities'!$A$6:$A$205,0)),"")))</f>
        <v/>
      </c>
      <c r="AC202" s="71">
        <f>IF($A202="","",IF($P202="","",IFERROR(INDEX('Opportunities'!$Z$6:$Z$205,MATCH($P202,'Opportunities'!$A$6:$A$205,0)),"")))</f>
        <v/>
      </c>
      <c r="AD202" s="71">
        <f>IF($A202="","",IF($P202="","",IFERROR(INDEX('Opportunities'!$AJ$6:$AJ$205,MATCH($P202,'Opportunities'!$A$6:$A$205,0)),"")))</f>
        <v/>
      </c>
      <c r="AE202" s="72">
        <f>IF($A202="","",IF($P202="","",IFERROR(INDEX('Opportunities'!$AA$6:$AA$205,MATCH($P202,'Opportunities'!$A$6:$A$205,0)),"")))</f>
        <v/>
      </c>
      <c r="AF202" s="73">
        <f>IF($A202="","",IF($P202="","",IFERROR(INDEX('Opportunities'!$AF$6:$AF$205,MATCH($P202,'Opportunities'!$A$6:$A$205,0)),"")))</f>
        <v/>
      </c>
      <c r="AG202" s="41">
        <f>IF($A202="","",IF($P202="","",IFERROR(INDEX('Opportunities'!$AB$6:$AB$205,MATCH($P202,'Opportunities'!$A$6:$A$205,0)),"")))</f>
        <v/>
      </c>
      <c r="AH202" s="74">
        <f>IF($A202="","",IF($P202="","",IFERROR(($U202+$V202-$J202-$K202)*24,0)))</f>
        <v/>
      </c>
      <c r="AI202" s="38">
        <f>IF($A202="","",IF($P202="","No load selected",IF($AH202&lt;IFERROR($Z202/'Settings'!$B$11,0)+'Settings'!$B$12,"Too tight",IF($AH202&gt;'Settings'!$B$13,"Long wait","Feasible"))))</f>
        <v/>
      </c>
      <c r="AJ202" s="41">
        <f>IF($A202="","",IF($P202="","",$N202-$Z202-$AB202))</f>
        <v/>
      </c>
      <c r="AK202" s="38">
        <f>IF($A202="","",IF(COUNTIF($A$6:$A$205,$A202)&gt;1,"Duplicate Trip ID",IF($P202="","Open",IF(COUNTIF('Opportunities'!$A$6:$A$205,$P202)=0,"Load ID not found",IF(COUNTIFS('Opportunities'!$A$6:$A$205,$P202,'Opportunities'!$B$6:$B$205,$A202)=0,"Trip mismatch",IF(COUNTIF($P$6:$P$205,$P202)&gt;1,"Duplicate selection",IF(AND(OR($O202="Booked",$O202="Completed"),AND($Q202&lt;&gt;"Booked",$Q202&lt;&gt;"Completed")),"Status mismatch","OK")))))))</f>
        <v/>
      </c>
      <c r="AL202" s="46" t="n"/>
    </row>
    <row r="203">
      <c r="A203" s="34" t="n"/>
      <c r="B203" s="34" t="n"/>
      <c r="C203" s="34" t="n"/>
      <c r="D203" s="34" t="n"/>
      <c r="E203" s="34" t="n"/>
      <c r="F203" s="34" t="n"/>
      <c r="G203" s="34" t="n"/>
      <c r="H203" s="69" t="n"/>
      <c r="I203" s="36" t="n"/>
      <c r="J203" s="69" t="n"/>
      <c r="K203" s="36" t="n"/>
      <c r="L203" s="34" t="n"/>
      <c r="M203" s="34" t="n"/>
      <c r="N203" s="37" t="n"/>
      <c r="O203" s="34" t="n"/>
      <c r="P203" s="34" t="n"/>
      <c r="Q203" s="38">
        <f>IF($A203="","",IF($P203="","",IFERROR(INDEX('Opportunities'!$C$6:$C$205,MATCH($P203,'Opportunities'!$A$6:$A$205,0)),"")))</f>
        <v/>
      </c>
      <c r="R203" s="38">
        <f>IF($A203="","",IF($P203="","",IFERROR(INDEX('Opportunities'!$D$6:$D$205,MATCH($P203,'Opportunities'!$A$6:$A$205,0)),"")))</f>
        <v/>
      </c>
      <c r="S203" s="38">
        <f>IF($A203="","",IF($P203="","",IFERROR(INDEX('Opportunities'!$E$6:$E$205,MATCH($P203,'Opportunities'!$A$6:$A$205,0)),"")))</f>
        <v/>
      </c>
      <c r="T203" s="38">
        <f>IF($A203="","",IF($P203="","",IFERROR(INDEX('Opportunities'!$F$6:$F$205,MATCH($P203,'Opportunities'!$A$6:$A$205,0)),"")))</f>
        <v/>
      </c>
      <c r="U203" s="70">
        <f>IF($A203="","",IF($P203="","",IFERROR(INDEX('Opportunities'!$G$6:$G$205,MATCH($P203,'Opportunities'!$A$6:$A$205,0)),"")))</f>
        <v/>
      </c>
      <c r="V203" s="40">
        <f>IF($A203="","",IF($P203="","",IFERROR(INDEX('Opportunities'!$H$6:$H$205,MATCH($P203,'Opportunities'!$A$6:$A$205,0)),"")))</f>
        <v/>
      </c>
      <c r="W203" s="38">
        <f>IF($A203="","",IF($P203="","",IFERROR(INDEX('Opportunities'!$I$6:$I$205,MATCH($P203,'Opportunities'!$A$6:$A$205,0)),"")))</f>
        <v/>
      </c>
      <c r="X203" s="38">
        <f>IF($A203="","",IF($P203="","",IFERROR(INDEX('Opportunities'!$J$6:$J$205,MATCH($P203,'Opportunities'!$A$6:$A$205,0)),"")))</f>
        <v/>
      </c>
      <c r="Y203" s="70">
        <f>IF($A203="","",IF($P203="","",IFERROR(INDEX('Opportunities'!$K$6:$K$205,MATCH($P203,'Opportunities'!$A$6:$A$205,0)),"")))</f>
        <v/>
      </c>
      <c r="Z203" s="41">
        <f>IF($A203="","",IF($P203="","",IFERROR(INDEX('Opportunities'!$O$6:$O$205,MATCH($P203,'Opportunities'!$A$6:$A$205,0)),"")))</f>
        <v/>
      </c>
      <c r="AA203" s="41">
        <f>IF($A203="","",IF($P203="","",IFERROR(INDEX('Opportunities'!$P$6:$P$205,MATCH($P203,'Opportunities'!$A$6:$A$205,0)),"")))</f>
        <v/>
      </c>
      <c r="AB203" s="41">
        <f>IF($A203="","",IF($P203="","",IFERROR(INDEX('Opportunities'!$Q$6:$Q$205,MATCH($P203,'Opportunities'!$A$6:$A$205,0)),"")))</f>
        <v/>
      </c>
      <c r="AC203" s="71">
        <f>IF($A203="","",IF($P203="","",IFERROR(INDEX('Opportunities'!$Z$6:$Z$205,MATCH($P203,'Opportunities'!$A$6:$A$205,0)),"")))</f>
        <v/>
      </c>
      <c r="AD203" s="71">
        <f>IF($A203="","",IF($P203="","",IFERROR(INDEX('Opportunities'!$AJ$6:$AJ$205,MATCH($P203,'Opportunities'!$A$6:$A$205,0)),"")))</f>
        <v/>
      </c>
      <c r="AE203" s="72">
        <f>IF($A203="","",IF($P203="","",IFERROR(INDEX('Opportunities'!$AA$6:$AA$205,MATCH($P203,'Opportunities'!$A$6:$A$205,0)),"")))</f>
        <v/>
      </c>
      <c r="AF203" s="73">
        <f>IF($A203="","",IF($P203="","",IFERROR(INDEX('Opportunities'!$AF$6:$AF$205,MATCH($P203,'Opportunities'!$A$6:$A$205,0)),"")))</f>
        <v/>
      </c>
      <c r="AG203" s="41">
        <f>IF($A203="","",IF($P203="","",IFERROR(INDEX('Opportunities'!$AB$6:$AB$205,MATCH($P203,'Opportunities'!$A$6:$A$205,0)),"")))</f>
        <v/>
      </c>
      <c r="AH203" s="74">
        <f>IF($A203="","",IF($P203="","",IFERROR(($U203+$V203-$J203-$K203)*24,0)))</f>
        <v/>
      </c>
      <c r="AI203" s="38">
        <f>IF($A203="","",IF($P203="","No load selected",IF($AH203&lt;IFERROR($Z203/'Settings'!$B$11,0)+'Settings'!$B$12,"Too tight",IF($AH203&gt;'Settings'!$B$13,"Long wait","Feasible"))))</f>
        <v/>
      </c>
      <c r="AJ203" s="41">
        <f>IF($A203="","",IF($P203="","",$N203-$Z203-$AB203))</f>
        <v/>
      </c>
      <c r="AK203" s="38">
        <f>IF($A203="","",IF(COUNTIF($A$6:$A$205,$A203)&gt;1,"Duplicate Trip ID",IF($P203="","Open",IF(COUNTIF('Opportunities'!$A$6:$A$205,$P203)=0,"Load ID not found",IF(COUNTIFS('Opportunities'!$A$6:$A$205,$P203,'Opportunities'!$B$6:$B$205,$A203)=0,"Trip mismatch",IF(COUNTIF($P$6:$P$205,$P203)&gt;1,"Duplicate selection",IF(AND(OR($O203="Booked",$O203="Completed"),AND($Q203&lt;&gt;"Booked",$Q203&lt;&gt;"Completed")),"Status mismatch","OK")))))))</f>
        <v/>
      </c>
      <c r="AL203" s="46" t="n"/>
    </row>
    <row r="204">
      <c r="A204" s="34" t="n"/>
      <c r="B204" s="34" t="n"/>
      <c r="C204" s="34" t="n"/>
      <c r="D204" s="34" t="n"/>
      <c r="E204" s="34" t="n"/>
      <c r="F204" s="34" t="n"/>
      <c r="G204" s="34" t="n"/>
      <c r="H204" s="69" t="n"/>
      <c r="I204" s="36" t="n"/>
      <c r="J204" s="69" t="n"/>
      <c r="K204" s="36" t="n"/>
      <c r="L204" s="34" t="n"/>
      <c r="M204" s="34" t="n"/>
      <c r="N204" s="37" t="n"/>
      <c r="O204" s="34" t="n"/>
      <c r="P204" s="34" t="n"/>
      <c r="Q204" s="38">
        <f>IF($A204="","",IF($P204="","",IFERROR(INDEX('Opportunities'!$C$6:$C$205,MATCH($P204,'Opportunities'!$A$6:$A$205,0)),"")))</f>
        <v/>
      </c>
      <c r="R204" s="38">
        <f>IF($A204="","",IF($P204="","",IFERROR(INDEX('Opportunities'!$D$6:$D$205,MATCH($P204,'Opportunities'!$A$6:$A$205,0)),"")))</f>
        <v/>
      </c>
      <c r="S204" s="38">
        <f>IF($A204="","",IF($P204="","",IFERROR(INDEX('Opportunities'!$E$6:$E$205,MATCH($P204,'Opportunities'!$A$6:$A$205,0)),"")))</f>
        <v/>
      </c>
      <c r="T204" s="38">
        <f>IF($A204="","",IF($P204="","",IFERROR(INDEX('Opportunities'!$F$6:$F$205,MATCH($P204,'Opportunities'!$A$6:$A$205,0)),"")))</f>
        <v/>
      </c>
      <c r="U204" s="70">
        <f>IF($A204="","",IF($P204="","",IFERROR(INDEX('Opportunities'!$G$6:$G$205,MATCH($P204,'Opportunities'!$A$6:$A$205,0)),"")))</f>
        <v/>
      </c>
      <c r="V204" s="40">
        <f>IF($A204="","",IF($P204="","",IFERROR(INDEX('Opportunities'!$H$6:$H$205,MATCH($P204,'Opportunities'!$A$6:$A$205,0)),"")))</f>
        <v/>
      </c>
      <c r="W204" s="38">
        <f>IF($A204="","",IF($P204="","",IFERROR(INDEX('Opportunities'!$I$6:$I$205,MATCH($P204,'Opportunities'!$A$6:$A$205,0)),"")))</f>
        <v/>
      </c>
      <c r="X204" s="38">
        <f>IF($A204="","",IF($P204="","",IFERROR(INDEX('Opportunities'!$J$6:$J$205,MATCH($P204,'Opportunities'!$A$6:$A$205,0)),"")))</f>
        <v/>
      </c>
      <c r="Y204" s="70">
        <f>IF($A204="","",IF($P204="","",IFERROR(INDEX('Opportunities'!$K$6:$K$205,MATCH($P204,'Opportunities'!$A$6:$A$205,0)),"")))</f>
        <v/>
      </c>
      <c r="Z204" s="41">
        <f>IF($A204="","",IF($P204="","",IFERROR(INDEX('Opportunities'!$O$6:$O$205,MATCH($P204,'Opportunities'!$A$6:$A$205,0)),"")))</f>
        <v/>
      </c>
      <c r="AA204" s="41">
        <f>IF($A204="","",IF($P204="","",IFERROR(INDEX('Opportunities'!$P$6:$P$205,MATCH($P204,'Opportunities'!$A$6:$A$205,0)),"")))</f>
        <v/>
      </c>
      <c r="AB204" s="41">
        <f>IF($A204="","",IF($P204="","",IFERROR(INDEX('Opportunities'!$Q$6:$Q$205,MATCH($P204,'Opportunities'!$A$6:$A$205,0)),"")))</f>
        <v/>
      </c>
      <c r="AC204" s="71">
        <f>IF($A204="","",IF($P204="","",IFERROR(INDEX('Opportunities'!$Z$6:$Z$205,MATCH($P204,'Opportunities'!$A$6:$A$205,0)),"")))</f>
        <v/>
      </c>
      <c r="AD204" s="71">
        <f>IF($A204="","",IF($P204="","",IFERROR(INDEX('Opportunities'!$AJ$6:$AJ$205,MATCH($P204,'Opportunities'!$A$6:$A$205,0)),"")))</f>
        <v/>
      </c>
      <c r="AE204" s="72">
        <f>IF($A204="","",IF($P204="","",IFERROR(INDEX('Opportunities'!$AA$6:$AA$205,MATCH($P204,'Opportunities'!$A$6:$A$205,0)),"")))</f>
        <v/>
      </c>
      <c r="AF204" s="73">
        <f>IF($A204="","",IF($P204="","",IFERROR(INDEX('Opportunities'!$AF$6:$AF$205,MATCH($P204,'Opportunities'!$A$6:$A$205,0)),"")))</f>
        <v/>
      </c>
      <c r="AG204" s="41">
        <f>IF($A204="","",IF($P204="","",IFERROR(INDEX('Opportunities'!$AB$6:$AB$205,MATCH($P204,'Opportunities'!$A$6:$A$205,0)),"")))</f>
        <v/>
      </c>
      <c r="AH204" s="74">
        <f>IF($A204="","",IF($P204="","",IFERROR(($U204+$V204-$J204-$K204)*24,0)))</f>
        <v/>
      </c>
      <c r="AI204" s="38">
        <f>IF($A204="","",IF($P204="","No load selected",IF($AH204&lt;IFERROR($Z204/'Settings'!$B$11,0)+'Settings'!$B$12,"Too tight",IF($AH204&gt;'Settings'!$B$13,"Long wait","Feasible"))))</f>
        <v/>
      </c>
      <c r="AJ204" s="41">
        <f>IF($A204="","",IF($P204="","",$N204-$Z204-$AB204))</f>
        <v/>
      </c>
      <c r="AK204" s="38">
        <f>IF($A204="","",IF(COUNTIF($A$6:$A$205,$A204)&gt;1,"Duplicate Trip ID",IF($P204="","Open",IF(COUNTIF('Opportunities'!$A$6:$A$205,$P204)=0,"Load ID not found",IF(COUNTIFS('Opportunities'!$A$6:$A$205,$P204,'Opportunities'!$B$6:$B$205,$A204)=0,"Trip mismatch",IF(COUNTIF($P$6:$P$205,$P204)&gt;1,"Duplicate selection",IF(AND(OR($O204="Booked",$O204="Completed"),AND($Q204&lt;&gt;"Booked",$Q204&lt;&gt;"Completed")),"Status mismatch","OK")))))))</f>
        <v/>
      </c>
      <c r="AL204" s="46" t="n"/>
    </row>
    <row r="205">
      <c r="A205" s="34" t="n"/>
      <c r="B205" s="34" t="n"/>
      <c r="C205" s="34" t="n"/>
      <c r="D205" s="34" t="n"/>
      <c r="E205" s="34" t="n"/>
      <c r="F205" s="34" t="n"/>
      <c r="G205" s="34" t="n"/>
      <c r="H205" s="69" t="n"/>
      <c r="I205" s="36" t="n"/>
      <c r="J205" s="69" t="n"/>
      <c r="K205" s="36" t="n"/>
      <c r="L205" s="34" t="n"/>
      <c r="M205" s="34" t="n"/>
      <c r="N205" s="37" t="n"/>
      <c r="O205" s="34" t="n"/>
      <c r="P205" s="34" t="n"/>
      <c r="Q205" s="38">
        <f>IF($A205="","",IF($P205="","",IFERROR(INDEX('Opportunities'!$C$6:$C$205,MATCH($P205,'Opportunities'!$A$6:$A$205,0)),"")))</f>
        <v/>
      </c>
      <c r="R205" s="38">
        <f>IF($A205="","",IF($P205="","",IFERROR(INDEX('Opportunities'!$D$6:$D$205,MATCH($P205,'Opportunities'!$A$6:$A$205,0)),"")))</f>
        <v/>
      </c>
      <c r="S205" s="38">
        <f>IF($A205="","",IF($P205="","",IFERROR(INDEX('Opportunities'!$E$6:$E$205,MATCH($P205,'Opportunities'!$A$6:$A$205,0)),"")))</f>
        <v/>
      </c>
      <c r="T205" s="38">
        <f>IF($A205="","",IF($P205="","",IFERROR(INDEX('Opportunities'!$F$6:$F$205,MATCH($P205,'Opportunities'!$A$6:$A$205,0)),"")))</f>
        <v/>
      </c>
      <c r="U205" s="70">
        <f>IF($A205="","",IF($P205="","",IFERROR(INDEX('Opportunities'!$G$6:$G$205,MATCH($P205,'Opportunities'!$A$6:$A$205,0)),"")))</f>
        <v/>
      </c>
      <c r="V205" s="40">
        <f>IF($A205="","",IF($P205="","",IFERROR(INDEX('Opportunities'!$H$6:$H$205,MATCH($P205,'Opportunities'!$A$6:$A$205,0)),"")))</f>
        <v/>
      </c>
      <c r="W205" s="38">
        <f>IF($A205="","",IF($P205="","",IFERROR(INDEX('Opportunities'!$I$6:$I$205,MATCH($P205,'Opportunities'!$A$6:$A$205,0)),"")))</f>
        <v/>
      </c>
      <c r="X205" s="38">
        <f>IF($A205="","",IF($P205="","",IFERROR(INDEX('Opportunities'!$J$6:$J$205,MATCH($P205,'Opportunities'!$A$6:$A$205,0)),"")))</f>
        <v/>
      </c>
      <c r="Y205" s="70">
        <f>IF($A205="","",IF($P205="","",IFERROR(INDEX('Opportunities'!$K$6:$K$205,MATCH($P205,'Opportunities'!$A$6:$A$205,0)),"")))</f>
        <v/>
      </c>
      <c r="Z205" s="41">
        <f>IF($A205="","",IF($P205="","",IFERROR(INDEX('Opportunities'!$O$6:$O$205,MATCH($P205,'Opportunities'!$A$6:$A$205,0)),"")))</f>
        <v/>
      </c>
      <c r="AA205" s="41">
        <f>IF($A205="","",IF($P205="","",IFERROR(INDEX('Opportunities'!$P$6:$P$205,MATCH($P205,'Opportunities'!$A$6:$A$205,0)),"")))</f>
        <v/>
      </c>
      <c r="AB205" s="41">
        <f>IF($A205="","",IF($P205="","",IFERROR(INDEX('Opportunities'!$Q$6:$Q$205,MATCH($P205,'Opportunities'!$A$6:$A$205,0)),"")))</f>
        <v/>
      </c>
      <c r="AC205" s="71">
        <f>IF($A205="","",IF($P205="","",IFERROR(INDEX('Opportunities'!$Z$6:$Z$205,MATCH($P205,'Opportunities'!$A$6:$A$205,0)),"")))</f>
        <v/>
      </c>
      <c r="AD205" s="71">
        <f>IF($A205="","",IF($P205="","",IFERROR(INDEX('Opportunities'!$AJ$6:$AJ$205,MATCH($P205,'Opportunities'!$A$6:$A$205,0)),"")))</f>
        <v/>
      </c>
      <c r="AE205" s="72">
        <f>IF($A205="","",IF($P205="","",IFERROR(INDEX('Opportunities'!$AA$6:$AA$205,MATCH($P205,'Opportunities'!$A$6:$A$205,0)),"")))</f>
        <v/>
      </c>
      <c r="AF205" s="73">
        <f>IF($A205="","",IF($P205="","",IFERROR(INDEX('Opportunities'!$AF$6:$AF$205,MATCH($P205,'Opportunities'!$A$6:$A$205,0)),"")))</f>
        <v/>
      </c>
      <c r="AG205" s="41">
        <f>IF($A205="","",IF($P205="","",IFERROR(INDEX('Opportunities'!$AB$6:$AB$205,MATCH($P205,'Opportunities'!$A$6:$A$205,0)),"")))</f>
        <v/>
      </c>
      <c r="AH205" s="74">
        <f>IF($A205="","",IF($P205="","",IFERROR(($U205+$V205-$J205-$K205)*24,0)))</f>
        <v/>
      </c>
      <c r="AI205" s="38">
        <f>IF($A205="","",IF($P205="","No load selected",IF($AH205&lt;IFERROR($Z205/'Settings'!$B$11,0)+'Settings'!$B$12,"Too tight",IF($AH205&gt;'Settings'!$B$13,"Long wait","Feasible"))))</f>
        <v/>
      </c>
      <c r="AJ205" s="41">
        <f>IF($A205="","",IF($P205="","",$N205-$Z205-$AB205))</f>
        <v/>
      </c>
      <c r="AK205" s="38">
        <f>IF($A205="","",IF(COUNTIF($A$6:$A$205,$A205)&gt;1,"Duplicate Trip ID",IF($P205="","Open",IF(COUNTIF('Opportunities'!$A$6:$A$205,$P205)=0,"Load ID not found",IF(COUNTIFS('Opportunities'!$A$6:$A$205,$P205,'Opportunities'!$B$6:$B$205,$A205)=0,"Trip mismatch",IF(COUNTIF($P$6:$P$205,$P205)&gt;1,"Duplicate selection",IF(AND(OR($O205="Booked",$O205="Completed"),AND($Q205&lt;&gt;"Booked",$Q205&lt;&gt;"Completed")),"Status mismatch","OK")))))))</f>
        <v/>
      </c>
      <c r="AL205" s="46" t="n"/>
    </row>
  </sheetData>
  <mergeCells count="1">
    <mergeCell ref="A1:AL1"/>
  </mergeCells>
  <conditionalFormatting sqref="O6:O205">
    <cfRule type="expression" priority="1" dxfId="3">
      <formula>$O6="Searching"</formula>
    </cfRule>
    <cfRule type="expression" priority="2" dxfId="4">
      <formula>$O6="Tentative"</formula>
    </cfRule>
    <cfRule type="expression" priority="3" dxfId="5">
      <formula>$O6="Booked"</formula>
    </cfRule>
    <cfRule type="expression" priority="4" dxfId="6">
      <formula>$O6="Completed"</formula>
    </cfRule>
    <cfRule type="expression" priority="5" dxfId="7">
      <formula>$O6="No Backhaul"</formula>
    </cfRule>
    <cfRule type="expression" priority="6" dxfId="8">
      <formula>$O6="Canceled"</formula>
    </cfRule>
  </conditionalFormatting>
  <conditionalFormatting sqref="AI6:AI205">
    <cfRule type="expression" priority="7" dxfId="2">
      <formula>$AI6="Too tight"</formula>
    </cfRule>
    <cfRule type="expression" priority="8" dxfId="1">
      <formula>$AI6="Long wait"</formula>
    </cfRule>
  </conditionalFormatting>
  <conditionalFormatting sqref="AK6:AK205">
    <cfRule type="expression" priority="9" dxfId="2">
      <formula>AND($A6&lt;&gt;"",$AK6&lt;&gt;"OK",$AK6&lt;&gt;"Open")</formula>
    </cfRule>
  </conditionalFormatting>
  <conditionalFormatting sqref="AD6:AD205">
    <cfRule type="expression" priority="10" dxfId="2">
      <formula>AND($P6&lt;&gt;"",$AD6&lt;'Settings'!$B$9)</formula>
    </cfRule>
  </conditionalFormatting>
  <conditionalFormatting sqref="AJ6:AJ205">
    <cfRule type="expression" priority="11" dxfId="2">
      <formula>AND($A6&lt;&gt;"",$AJ6&lt;0)</formula>
    </cfRule>
  </conditionalFormatting>
  <dataValidations count="8">
    <dataValidation sqref="A6:A205" showDropDown="0" showInputMessage="0" showErrorMessage="1" allowBlank="0" errorTitle="Possible duplicate Trip ID" error="This Trip ID already exists. Use a unique Trip ID." type="custom" errorStyle="warning">
      <formula1>=OR(A6="",COUNTIF($A$6:$A$205,A6)=1)</formula1>
    </dataValidation>
    <dataValidation sqref="D6:D205" showDropDown="0" showInputMessage="0" showErrorMessage="0" allowBlank="0" type="list">
      <formula1>=INDIRECT("'Settings'!$E$4:$E$8")</formula1>
    </dataValidation>
    <dataValidation sqref="G6:G205 M6:M205" showDropDown="0" showInputMessage="0" showErrorMessage="0" allowBlank="0" type="list">
      <formula1>=INDIRECT("'Settings'!$H$4:$H$54")</formula1>
    </dataValidation>
    <dataValidation sqref="O6:O205" showDropDown="0" showInputMessage="0" showErrorMessage="0" allowBlank="0" type="list">
      <formula1>=INDIRECT("'Settings'!$F$4:$F$9")</formula1>
    </dataValidation>
    <dataValidation sqref="P6:P205" showDropDown="0" showInputMessage="0" showErrorMessage="0" allowBlank="0" type="list">
      <formula1>=INDIRECT("'Opportunities'!$A$6:$A$205")</formula1>
    </dataValidation>
    <dataValidation sqref="H6:H205 J6:J205" showDropDown="0" showInputMessage="0" showErrorMessage="0" allowBlank="0" type="date" operator="between">
      <formula1>DATE(2020,1,1)</formula1>
      <formula2>DATE(2035,12,31)</formula2>
    </dataValidation>
    <dataValidation sqref="I6:I205 K6:K205" showDropDown="0" showInputMessage="0" showErrorMessage="0" allowBlank="0" type="time" operator="between">
      <formula1>0</formula1>
      <formula2>0.99999</formula2>
    </dataValidation>
    <dataValidation sqref="N6:N205" showDropDown="0" showInputMessage="0" showErrorMessage="0" allowBlank="0" type="whole" operator="between">
      <formula1>0</formula1>
      <formula2>5000</formula2>
    </dataValidation>
  </dataValidations>
  <pageMargins left="0.75" right="0.75" top="1" bottom="1" header="0.5" footer="0.5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M205"/>
  <sheetViews>
    <sheetView showGridLines="0" zoomScale="75" zoomScaleNormal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24" customWidth="1" min="4" max="4"/>
    <col width="18" customWidth="1" min="5" max="5"/>
    <col width="10" customWidth="1" min="6" max="6"/>
    <col width="13" customWidth="1" min="7" max="7"/>
    <col width="12" customWidth="1" min="8" max="8"/>
    <col width="18" customWidth="1" min="9" max="9"/>
    <col width="10" customWidth="1" min="10" max="10"/>
    <col width="13" customWidth="1" min="11" max="11"/>
    <col width="12" customWidth="1" min="12" max="12"/>
    <col width="14" customWidth="1" min="13" max="13"/>
    <col width="13" customWidth="1" min="14" max="14"/>
    <col width="14" customWidth="1" min="15" max="15"/>
    <col width="14" customWidth="1" min="16" max="16"/>
    <col width="15" customWidth="1" min="17" max="17"/>
    <col width="14" customWidth="1" min="18" max="18"/>
    <col width="15" customWidth="1" min="19" max="19"/>
    <col width="14" customWidth="1" min="20" max="20"/>
    <col width="16" customWidth="1" min="21" max="21"/>
    <col width="13" customWidth="1" min="22" max="22"/>
    <col width="25" customWidth="1" min="23" max="23"/>
    <col width="20" customWidth="1" min="24" max="24"/>
    <col width="42" customWidth="1" min="25" max="25"/>
    <col width="15" customWidth="1" min="26" max="26"/>
    <col width="16" customWidth="1" min="27" max="27"/>
    <col width="15" customWidth="1" min="28" max="28"/>
    <col width="18" customWidth="1" min="29" max="29"/>
    <col width="15" customWidth="1" min="30" max="30"/>
    <col width="14" customWidth="1" min="31" max="31"/>
    <col width="16" customWidth="1" min="32" max="32"/>
    <col width="15" customWidth="1" min="33" max="33"/>
    <col width="18" customWidth="1" min="34" max="34"/>
    <col width="14" customWidth="1" min="35" max="35"/>
    <col width="19" customWidth="1" min="36" max="36"/>
    <col width="18" customWidth="1" min="37" max="37"/>
    <col width="23" customWidth="1" min="38" max="38"/>
    <col width="20" customWidth="1" min="39" max="39"/>
  </cols>
  <sheetData>
    <row r="1" ht="28" customHeight="1">
      <c r="A1" s="1" t="inlineStr">
        <is>
          <t>Backhaul Opportunities</t>
        </is>
      </c>
    </row>
    <row r="2" ht="25" customHeight="1">
      <c r="A2" s="29" t="inlineStr">
        <is>
          <t>Enter load details in yellow cells. Blue cells estimate route economics relative to the assigned trip's direct empty return.</t>
        </is>
      </c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29" t="n"/>
      <c r="AF2" s="29" t="n"/>
      <c r="AG2" s="29" t="n"/>
      <c r="AH2" s="29" t="n"/>
      <c r="AI2" s="29" t="n"/>
      <c r="AJ2" s="29" t="n"/>
      <c r="AK2" s="29" t="n"/>
      <c r="AL2" s="29" t="n"/>
      <c r="AM2" s="29" t="n"/>
    </row>
    <row r="3">
      <c r="A3" s="30" t="inlineStr">
        <is>
          <t>Legend</t>
        </is>
      </c>
      <c r="B3" s="31" t="inlineStr">
        <is>
          <t>Pale yellow = User input</t>
        </is>
      </c>
      <c r="C3" s="32" t="inlineStr">
        <is>
          <t>Pale blue = Calculated</t>
        </is>
      </c>
      <c r="D3" s="33" t="inlineStr">
        <is>
          <t>Red or amber = Review required</t>
        </is>
      </c>
    </row>
    <row r="5" ht="52" customHeight="1">
      <c r="A5" s="13" t="inlineStr">
        <is>
          <t>Load ID</t>
        </is>
      </c>
      <c r="B5" s="13" t="inlineStr">
        <is>
          <t>Target Trip ID</t>
        </is>
      </c>
      <c r="C5" s="13" t="inlineStr">
        <is>
          <t>Status</t>
        </is>
      </c>
      <c r="D5" s="13" t="inlineStr">
        <is>
          <t>Broker/Customer</t>
        </is>
      </c>
      <c r="E5" s="13" t="inlineStr">
        <is>
          <t>Pickup City</t>
        </is>
      </c>
      <c r="F5" s="13" t="inlineStr">
        <is>
          <t>Pickup State</t>
        </is>
      </c>
      <c r="G5" s="13" t="inlineStr">
        <is>
          <t>Pickup Date</t>
        </is>
      </c>
      <c r="H5" s="13" t="inlineStr">
        <is>
          <t>Pickup Time</t>
        </is>
      </c>
      <c r="I5" s="13" t="inlineStr">
        <is>
          <t>Delivery City</t>
        </is>
      </c>
      <c r="J5" s="13" t="inlineStr">
        <is>
          <t>Delivery State</t>
        </is>
      </c>
      <c r="K5" s="13" t="inlineStr">
        <is>
          <t>Delivery Date</t>
        </is>
      </c>
      <c r="L5" s="13" t="inlineStr">
        <is>
          <t>Delivery Time</t>
        </is>
      </c>
      <c r="M5" s="13" t="inlineStr">
        <is>
          <t>Equipment</t>
        </is>
      </c>
      <c r="N5" s="13" t="inlineStr">
        <is>
          <t>Weight (lb)</t>
        </is>
      </c>
      <c r="O5" s="13" t="inlineStr">
        <is>
          <t>Deadhead Miles</t>
        </is>
      </c>
      <c r="P5" s="13" t="inlineStr">
        <is>
          <t>Loaded Miles</t>
        </is>
      </c>
      <c r="Q5" s="13" t="inlineStr">
        <is>
          <t>Empty Miles to Base</t>
        </is>
      </c>
      <c r="R5" s="13" t="inlineStr">
        <is>
          <t>Planned Idle Hours</t>
        </is>
      </c>
      <c r="S5" s="13" t="inlineStr">
        <is>
          <t>Linehaul Revenue</t>
        </is>
      </c>
      <c r="T5" s="13" t="inlineStr">
        <is>
          <t>Fuel Surcharge</t>
        </is>
      </c>
      <c r="U5" s="13" t="inlineStr">
        <is>
          <t>Accessorial Revenue</t>
        </is>
      </c>
      <c r="V5" s="13" t="inlineStr">
        <is>
          <t>Broker Fee</t>
        </is>
      </c>
      <c r="W5" s="13" t="inlineStr">
        <is>
          <t>Contact</t>
        </is>
      </c>
      <c r="X5" s="13" t="inlineStr">
        <is>
          <t>Quote Expires</t>
        </is>
      </c>
      <c r="Y5" s="13" t="inlineStr">
        <is>
          <t>Notes</t>
        </is>
      </c>
      <c r="Z5" s="13" t="inlineStr">
        <is>
          <t>Gross Revenue</t>
        </is>
      </c>
      <c r="AA5" s="13" t="inlineStr">
        <is>
          <t>Revenue/Loaded Mile</t>
        </is>
      </c>
      <c r="AB5" s="13" t="inlineStr">
        <is>
          <t>Actual Return Miles</t>
        </is>
      </c>
      <c r="AC5" s="13" t="inlineStr">
        <is>
          <t>Baseline Empty Return Miles</t>
        </is>
      </c>
      <c r="AD5" s="13" t="inlineStr">
        <is>
          <t>Empty Miles Avoided</t>
        </is>
      </c>
      <c r="AE5" s="13" t="inlineStr">
        <is>
          <t>Incremental Miles</t>
        </is>
      </c>
      <c r="AF5" s="13" t="inlineStr">
        <is>
          <t>Estimated Fuel Gallons</t>
        </is>
      </c>
      <c r="AG5" s="13" t="inlineStr">
        <is>
          <t>Estimated Fuel Cost</t>
        </is>
      </c>
      <c r="AH5" s="13" t="inlineStr">
        <is>
          <t>Incremental Variable Cost</t>
        </is>
      </c>
      <c r="AI5" s="13" t="inlineStr">
        <is>
          <t>Wait Cost</t>
        </is>
      </c>
      <c r="AJ5" s="13" t="inlineStr">
        <is>
          <t>Estimated Net Contribution</t>
        </is>
      </c>
      <c r="AK5" s="13" t="inlineStr">
        <is>
          <t>Contribution/Actual Mile</t>
        </is>
      </c>
      <c r="AL5" s="13" t="inlineStr">
        <is>
          <t>Recommendation</t>
        </is>
      </c>
      <c r="AM5" s="13" t="inlineStr">
        <is>
          <t>Data Check</t>
        </is>
      </c>
    </row>
    <row r="6">
      <c r="A6" s="34" t="inlineStr">
        <is>
          <t>BH-1001</t>
        </is>
      </c>
      <c r="B6" s="34" t="inlineStr">
        <is>
          <t>TRP-2501</t>
        </is>
      </c>
      <c r="C6" s="34" t="inlineStr">
        <is>
          <t>Completed</t>
        </is>
      </c>
      <c r="D6" s="34" t="inlineStr">
        <is>
          <t>Blue Ridge Logistics</t>
        </is>
      </c>
      <c r="E6" s="34" t="inlineStr">
        <is>
          <t>Greenwood</t>
        </is>
      </c>
      <c r="F6" s="34" t="inlineStr">
        <is>
          <t>IN</t>
        </is>
      </c>
      <c r="G6" s="69" t="n">
        <v>46269</v>
      </c>
      <c r="H6" s="36" t="n">
        <v>0.4375</v>
      </c>
      <c r="I6" s="34" t="inlineStr">
        <is>
          <t>Columbus</t>
        </is>
      </c>
      <c r="J6" s="34" t="inlineStr">
        <is>
          <t>OH</t>
        </is>
      </c>
      <c r="K6" s="69" t="n">
        <v>46269</v>
      </c>
      <c r="L6" s="36" t="n">
        <v>0.6458333333333334</v>
      </c>
      <c r="M6" s="34" t="inlineStr">
        <is>
          <t>Dry Van</t>
        </is>
      </c>
      <c r="N6" s="75" t="n">
        <v>42000</v>
      </c>
      <c r="O6" s="37" t="n">
        <v>18</v>
      </c>
      <c r="P6" s="37" t="n">
        <v>178</v>
      </c>
      <c r="Q6" s="37" t="n">
        <v>8</v>
      </c>
      <c r="R6" s="76" t="n">
        <v>0.5</v>
      </c>
      <c r="S6" s="77" t="n">
        <v>520</v>
      </c>
      <c r="T6" s="77" t="n">
        <v>85</v>
      </c>
      <c r="U6" s="77" t="n">
        <v>20</v>
      </c>
      <c r="V6" s="77" t="n">
        <v>25</v>
      </c>
      <c r="W6" s="34" t="inlineStr">
        <is>
          <t>Jordan Lee, 555-0101</t>
        </is>
      </c>
      <c r="X6" s="78" t="n">
        <v>46269.40625</v>
      </c>
      <c r="Y6" s="46" t="inlineStr">
        <is>
          <t>Completed without accessorial dispute.</t>
        </is>
      </c>
      <c r="Z6" s="71">
        <f>IF($A6="","",SUM($S6:$U6))</f>
        <v/>
      </c>
      <c r="AA6" s="72">
        <f>IF($A6="","",IFERROR($Z6/$P6,0))</f>
        <v/>
      </c>
      <c r="AB6" s="41">
        <f>IF($A6="","",SUM($O6:$Q6))</f>
        <v/>
      </c>
      <c r="AC6" s="41">
        <f>IF($A6="","",IFERROR(INDEX('Planner'!$N$6:$N$205,MATCH($B6,'Planner'!$A$6:$A$205,0)),0))</f>
        <v/>
      </c>
      <c r="AD6" s="41">
        <f>IF($A6="","",$AC6-$O6-$Q6)</f>
        <v/>
      </c>
      <c r="AE6" s="41">
        <f>IF($A6="","",$AB6-$AC6)</f>
        <v/>
      </c>
      <c r="AF6" s="73">
        <f>IF($A6="","",IFERROR($AB6/'Settings'!$B$5,0))</f>
        <v/>
      </c>
      <c r="AG6" s="71">
        <f>IF($A6="","",$AF6*'Settings'!$B$4)</f>
        <v/>
      </c>
      <c r="AH6" s="71">
        <f>IF($A6="","",$AE6*'Settings'!$B$17)</f>
        <v/>
      </c>
      <c r="AI6" s="71">
        <f>IF($A6="","",$R6*'Settings'!$B$7)</f>
        <v/>
      </c>
      <c r="AJ6" s="71">
        <f>IF($A6="","",$Z6-$V6-$AH6-$AI6)</f>
        <v/>
      </c>
      <c r="AK6" s="72">
        <f>IF($A6="","",IFERROR($AJ6/$AB6,0))</f>
        <v/>
      </c>
      <c r="AL6" s="38">
        <f>IF($A6="","",IF(OR($C6="Passed",$C6="Expired",$C6="Canceled"),$C6,IF($C6="Completed","Completed",IF(AND($O6&lt;='Settings'!$B$8,$AA6&gt;='Settings'!$B$10,$AJ6&gt;='Settings'!$B$9),IF($C6="Booked","Booked - Meets Targets","Meets Targets"),IF($C6="Booked","Booked - Below Target","Review")))))</f>
        <v/>
      </c>
      <c r="AM6" s="38">
        <f>IF($A6="","",IF(COUNTIF($A$6:$A$205,$A6)&gt;1,"Duplicate Load ID",IF(COUNTIF('Planner'!$A$6:$A$205,$B6)=0,"Trip ID not found",IF(($G6+$H6)&gt;($K6+$L6),"Check schedule",IF(MIN($N6,$O6,$P6,$Q6,$R6,$S6,$T6,$U6,$V6)&lt;0,"Negative value","OK")))))</f>
        <v/>
      </c>
    </row>
    <row r="7">
      <c r="A7" s="34" t="inlineStr">
        <is>
          <t>BH-1002</t>
        </is>
      </c>
      <c r="B7" s="34" t="inlineStr">
        <is>
          <t>TRP-2502</t>
        </is>
      </c>
      <c r="C7" s="34" t="inlineStr">
        <is>
          <t>Booked</t>
        </is>
      </c>
      <c r="D7" s="34" t="inlineStr">
        <is>
          <t>Riverbend Produce</t>
        </is>
      </c>
      <c r="E7" s="34" t="inlineStr">
        <is>
          <t>Murfreesboro</t>
        </is>
      </c>
      <c r="F7" s="34" t="inlineStr">
        <is>
          <t>TN</t>
        </is>
      </c>
      <c r="G7" s="69" t="n">
        <v>46273</v>
      </c>
      <c r="H7" s="36" t="n">
        <v>0.5</v>
      </c>
      <c r="I7" s="34" t="inlineStr">
        <is>
          <t>Louisville</t>
        </is>
      </c>
      <c r="J7" s="34" t="inlineStr">
        <is>
          <t>KY</t>
        </is>
      </c>
      <c r="K7" s="69" t="n">
        <v>46273</v>
      </c>
      <c r="L7" s="36" t="n">
        <v>0.7291666666666666</v>
      </c>
      <c r="M7" s="34" t="inlineStr">
        <is>
          <t>Reefer</t>
        </is>
      </c>
      <c r="N7" s="75" t="n">
        <v>40000</v>
      </c>
      <c r="O7" s="37" t="n">
        <v>36</v>
      </c>
      <c r="P7" s="37" t="n">
        <v>190</v>
      </c>
      <c r="Q7" s="37" t="n">
        <v>12</v>
      </c>
      <c r="R7" s="76" t="n">
        <v>1</v>
      </c>
      <c r="S7" s="77" t="n">
        <v>600</v>
      </c>
      <c r="T7" s="77" t="n">
        <v>95</v>
      </c>
      <c r="U7" s="77" t="n">
        <v>35</v>
      </c>
      <c r="V7" s="77" t="n">
        <v>35</v>
      </c>
      <c r="W7" s="34" t="inlineStr">
        <is>
          <t>Mia Carter, 555-0102</t>
        </is>
      </c>
      <c r="X7" s="78" t="n">
        <v>46273.4375</v>
      </c>
      <c r="Y7" s="46" t="inlineStr">
        <is>
          <t>Maintain 36 degrees.</t>
        </is>
      </c>
      <c r="Z7" s="71">
        <f>IF($A7="","",SUM($S7:$U7))</f>
        <v/>
      </c>
      <c r="AA7" s="72">
        <f>IF($A7="","",IFERROR($Z7/$P7,0))</f>
        <v/>
      </c>
      <c r="AB7" s="41">
        <f>IF($A7="","",SUM($O7:$Q7))</f>
        <v/>
      </c>
      <c r="AC7" s="41">
        <f>IF($A7="","",IFERROR(INDEX('Planner'!$N$6:$N$205,MATCH($B7,'Planner'!$A$6:$A$205,0)),0))</f>
        <v/>
      </c>
      <c r="AD7" s="41">
        <f>IF($A7="","",$AC7-$O7-$Q7)</f>
        <v/>
      </c>
      <c r="AE7" s="41">
        <f>IF($A7="","",$AB7-$AC7)</f>
        <v/>
      </c>
      <c r="AF7" s="73">
        <f>IF($A7="","",IFERROR($AB7/'Settings'!$B$5,0))</f>
        <v/>
      </c>
      <c r="AG7" s="71">
        <f>IF($A7="","",$AF7*'Settings'!$B$4)</f>
        <v/>
      </c>
      <c r="AH7" s="71">
        <f>IF($A7="","",$AE7*'Settings'!$B$17)</f>
        <v/>
      </c>
      <c r="AI7" s="71">
        <f>IF($A7="","",$R7*'Settings'!$B$7)</f>
        <v/>
      </c>
      <c r="AJ7" s="71">
        <f>IF($A7="","",$Z7-$V7-$AH7-$AI7)</f>
        <v/>
      </c>
      <c r="AK7" s="72">
        <f>IF($A7="","",IFERROR($AJ7/$AB7,0))</f>
        <v/>
      </c>
      <c r="AL7" s="38">
        <f>IF($A7="","",IF(OR($C7="Passed",$C7="Expired",$C7="Canceled"),$C7,IF($C7="Completed","Completed",IF(AND($O7&lt;='Settings'!$B$8,$AA7&gt;='Settings'!$B$10,$AJ7&gt;='Settings'!$B$9),IF($C7="Booked","Booked - Meets Targets","Meets Targets"),IF($C7="Booked","Booked - Below Target","Review")))))</f>
        <v/>
      </c>
      <c r="AM7" s="38">
        <f>IF($A7="","",IF(COUNTIF($A$6:$A$205,$A7)&gt;1,"Duplicate Load ID",IF(COUNTIF('Planner'!$A$6:$A$205,$B7)=0,"Trip ID not found",IF(($G7+$H7)&gt;($K7+$L7),"Check schedule",IF(MIN($N7,$O7,$P7,$Q7,$R7,$S7,$T7,$U7,$V7)&lt;0,"Negative value","OK")))))</f>
        <v/>
      </c>
    </row>
    <row r="8">
      <c r="A8" s="34" t="inlineStr">
        <is>
          <t>BH-1003</t>
        </is>
      </c>
      <c r="B8" s="34" t="inlineStr">
        <is>
          <t>TRP-2503</t>
        </is>
      </c>
      <c r="C8" s="34" t="inlineStr">
        <is>
          <t>Hold</t>
        </is>
      </c>
      <c r="D8" s="34" t="inlineStr">
        <is>
          <t>Lakeshore Freight</t>
        </is>
      </c>
      <c r="E8" s="34" t="inlineStr">
        <is>
          <t>Joliet</t>
        </is>
      </c>
      <c r="F8" s="34" t="inlineStr">
        <is>
          <t>IL</t>
        </is>
      </c>
      <c r="G8" s="69" t="n">
        <v>46274</v>
      </c>
      <c r="H8" s="36" t="n">
        <v>0.5416666666666666</v>
      </c>
      <c r="I8" s="34" t="inlineStr">
        <is>
          <t>Grand Rapids</t>
        </is>
      </c>
      <c r="J8" s="34" t="inlineStr">
        <is>
          <t>MI</t>
        </is>
      </c>
      <c r="K8" s="69" t="n">
        <v>46274</v>
      </c>
      <c r="L8" s="36" t="n">
        <v>0.7916666666666666</v>
      </c>
      <c r="M8" s="34" t="inlineStr">
        <is>
          <t>Dry Van</t>
        </is>
      </c>
      <c r="N8" s="75" t="n">
        <v>38500</v>
      </c>
      <c r="O8" s="37" t="n">
        <v>44</v>
      </c>
      <c r="P8" s="37" t="n">
        <v>175</v>
      </c>
      <c r="Q8" s="37" t="n">
        <v>10</v>
      </c>
      <c r="R8" s="76" t="n">
        <v>1</v>
      </c>
      <c r="S8" s="77" t="n">
        <v>525</v>
      </c>
      <c r="T8" s="77" t="n">
        <v>85</v>
      </c>
      <c r="U8" s="77" t="n">
        <v>0</v>
      </c>
      <c r="V8" s="77" t="n">
        <v>30</v>
      </c>
      <c r="W8" s="34" t="inlineStr">
        <is>
          <t>Owen Blake, 555-0103</t>
        </is>
      </c>
      <c r="X8" s="78" t="n">
        <v>46274.47916666666</v>
      </c>
      <c r="Y8" s="46" t="inlineStr">
        <is>
          <t>Rate confirmation pending.</t>
        </is>
      </c>
      <c r="Z8" s="71">
        <f>IF($A8="","",SUM($S8:$U8))</f>
        <v/>
      </c>
      <c r="AA8" s="72">
        <f>IF($A8="","",IFERROR($Z8/$P8,0))</f>
        <v/>
      </c>
      <c r="AB8" s="41">
        <f>IF($A8="","",SUM($O8:$Q8))</f>
        <v/>
      </c>
      <c r="AC8" s="41">
        <f>IF($A8="","",IFERROR(INDEX('Planner'!$N$6:$N$205,MATCH($B8,'Planner'!$A$6:$A$205,0)),0))</f>
        <v/>
      </c>
      <c r="AD8" s="41">
        <f>IF($A8="","",$AC8-$O8-$Q8)</f>
        <v/>
      </c>
      <c r="AE8" s="41">
        <f>IF($A8="","",$AB8-$AC8)</f>
        <v/>
      </c>
      <c r="AF8" s="73">
        <f>IF($A8="","",IFERROR($AB8/'Settings'!$B$5,0))</f>
        <v/>
      </c>
      <c r="AG8" s="71">
        <f>IF($A8="","",$AF8*'Settings'!$B$4)</f>
        <v/>
      </c>
      <c r="AH8" s="71">
        <f>IF($A8="","",$AE8*'Settings'!$B$17)</f>
        <v/>
      </c>
      <c r="AI8" s="71">
        <f>IF($A8="","",$R8*'Settings'!$B$7)</f>
        <v/>
      </c>
      <c r="AJ8" s="71">
        <f>IF($A8="","",$Z8-$V8-$AH8-$AI8)</f>
        <v/>
      </c>
      <c r="AK8" s="72">
        <f>IF($A8="","",IFERROR($AJ8/$AB8,0))</f>
        <v/>
      </c>
      <c r="AL8" s="38">
        <f>IF($A8="","",IF(OR($C8="Passed",$C8="Expired",$C8="Canceled"),$C8,IF($C8="Completed","Completed",IF(AND($O8&lt;='Settings'!$B$8,$AA8&gt;='Settings'!$B$10,$AJ8&gt;='Settings'!$B$9),IF($C8="Booked","Booked - Meets Targets","Meets Targets"),IF($C8="Booked","Booked - Below Target","Review")))))</f>
        <v/>
      </c>
      <c r="AM8" s="38">
        <f>IF($A8="","",IF(COUNTIF($A$6:$A$205,$A8)&gt;1,"Duplicate Load ID",IF(COUNTIF('Planner'!$A$6:$A$205,$B8)=0,"Trip ID not found",IF(($G8+$H8)&gt;($K8+$L8),"Check schedule",IF(MIN($N8,$O8,$P8,$Q8,$R8,$S8,$T8,$U8,$V8)&lt;0,"Negative value","OK")))))</f>
        <v/>
      </c>
    </row>
    <row r="9">
      <c r="A9" s="34" t="inlineStr">
        <is>
          <t>BH-1004</t>
        </is>
      </c>
      <c r="B9" s="34" t="inlineStr">
        <is>
          <t>TRP-2504</t>
        </is>
      </c>
      <c r="C9" s="34" t="inlineStr">
        <is>
          <t>Quoted</t>
        </is>
      </c>
      <c r="D9" s="34" t="inlineStr">
        <is>
          <t>Piedmont Distribution</t>
        </is>
      </c>
      <c r="E9" s="34" t="inlineStr">
        <is>
          <t>Marietta</t>
        </is>
      </c>
      <c r="F9" s="34" t="inlineStr">
        <is>
          <t>GA</t>
        </is>
      </c>
      <c r="G9" s="69" t="n">
        <v>46275</v>
      </c>
      <c r="H9" s="36" t="n">
        <v>0.5416666666666666</v>
      </c>
      <c r="I9" s="34" t="inlineStr">
        <is>
          <t>Charlotte</t>
        </is>
      </c>
      <c r="J9" s="34" t="inlineStr">
        <is>
          <t>NC</t>
        </is>
      </c>
      <c r="K9" s="69" t="n">
        <v>46275</v>
      </c>
      <c r="L9" s="36" t="n">
        <v>0.8333333333333334</v>
      </c>
      <c r="M9" s="34" t="inlineStr">
        <is>
          <t>Dry Van</t>
        </is>
      </c>
      <c r="N9" s="75" t="n">
        <v>41000</v>
      </c>
      <c r="O9" s="37" t="n">
        <v>20</v>
      </c>
      <c r="P9" s="37" t="n">
        <v>250</v>
      </c>
      <c r="Q9" s="37" t="n">
        <v>10</v>
      </c>
      <c r="R9" s="76" t="n">
        <v>0.5</v>
      </c>
      <c r="S9" s="77" t="n">
        <v>650</v>
      </c>
      <c r="T9" s="77" t="n">
        <v>105</v>
      </c>
      <c r="U9" s="77" t="n">
        <v>0</v>
      </c>
      <c r="V9" s="77" t="n">
        <v>35</v>
      </c>
      <c r="W9" s="34" t="inlineStr">
        <is>
          <t>Nora Evans, 555-0104</t>
        </is>
      </c>
      <c r="X9" s="78" t="n">
        <v>46274.70833333334</v>
      </c>
      <c r="Y9" s="46" t="inlineStr">
        <is>
          <t>Driver-assist unload not included.</t>
        </is>
      </c>
      <c r="Z9" s="71">
        <f>IF($A9="","",SUM($S9:$U9))</f>
        <v/>
      </c>
      <c r="AA9" s="72">
        <f>IF($A9="","",IFERROR($Z9/$P9,0))</f>
        <v/>
      </c>
      <c r="AB9" s="41">
        <f>IF($A9="","",SUM($O9:$Q9))</f>
        <v/>
      </c>
      <c r="AC9" s="41">
        <f>IF($A9="","",IFERROR(INDEX('Planner'!$N$6:$N$205,MATCH($B9,'Planner'!$A$6:$A$205,0)),0))</f>
        <v/>
      </c>
      <c r="AD9" s="41">
        <f>IF($A9="","",$AC9-$O9-$Q9)</f>
        <v/>
      </c>
      <c r="AE9" s="41">
        <f>IF($A9="","",$AB9-$AC9)</f>
        <v/>
      </c>
      <c r="AF9" s="73">
        <f>IF($A9="","",IFERROR($AB9/'Settings'!$B$5,0))</f>
        <v/>
      </c>
      <c r="AG9" s="71">
        <f>IF($A9="","",$AF9*'Settings'!$B$4)</f>
        <v/>
      </c>
      <c r="AH9" s="71">
        <f>IF($A9="","",$AE9*'Settings'!$B$17)</f>
        <v/>
      </c>
      <c r="AI9" s="71">
        <f>IF($A9="","",$R9*'Settings'!$B$7)</f>
        <v/>
      </c>
      <c r="AJ9" s="71">
        <f>IF($A9="","",$Z9-$V9-$AH9-$AI9)</f>
        <v/>
      </c>
      <c r="AK9" s="72">
        <f>IF($A9="","",IFERROR($AJ9/$AB9,0))</f>
        <v/>
      </c>
      <c r="AL9" s="38">
        <f>IF($A9="","",IF(OR($C9="Passed",$C9="Expired",$C9="Canceled"),$C9,IF($C9="Completed","Completed",IF(AND($O9&lt;='Settings'!$B$8,$AA9&gt;='Settings'!$B$10,$AJ9&gt;='Settings'!$B$9),IF($C9="Booked","Booked - Meets Targets","Meets Targets"),IF($C9="Booked","Booked - Below Target","Review")))))</f>
        <v/>
      </c>
      <c r="AM9" s="38">
        <f>IF($A9="","",IF(COUNTIF($A$6:$A$205,$A9)&gt;1,"Duplicate Load ID",IF(COUNTIF('Planner'!$A$6:$A$205,$B9)=0,"Trip ID not found",IF(($G9+$H9)&gt;($K9+$L9),"Check schedule",IF(MIN($N9,$O9,$P9,$Q9,$R9,$S9,$T9,$U9,$V9)&lt;0,"Negative value","OK")))))</f>
        <v/>
      </c>
    </row>
    <row r="10">
      <c r="A10" s="34" t="inlineStr">
        <is>
          <t>BH-1005</t>
        </is>
      </c>
      <c r="B10" s="34" t="inlineStr">
        <is>
          <t>TRP-2505</t>
        </is>
      </c>
      <c r="C10" s="34" t="inlineStr">
        <is>
          <t>Booked</t>
        </is>
      </c>
      <c r="D10" s="34" t="inlineStr">
        <is>
          <t>Red River Brokerage</t>
        </is>
      </c>
      <c r="E10" s="34" t="inlineStr">
        <is>
          <t>Fort Worth</t>
        </is>
      </c>
      <c r="F10" s="34" t="inlineStr">
        <is>
          <t>TX</t>
        </is>
      </c>
      <c r="G10" s="69" t="n">
        <v>46276</v>
      </c>
      <c r="H10" s="36" t="n">
        <v>0.4375</v>
      </c>
      <c r="I10" s="34" t="inlineStr">
        <is>
          <t>Oklahoma City</t>
        </is>
      </c>
      <c r="J10" s="34" t="inlineStr">
        <is>
          <t>OK</t>
        </is>
      </c>
      <c r="K10" s="69" t="n">
        <v>46276</v>
      </c>
      <c r="L10" s="36" t="n">
        <v>0.6875</v>
      </c>
      <c r="M10" s="34" t="inlineStr">
        <is>
          <t>Dry Van</t>
        </is>
      </c>
      <c r="N10" s="75" t="n">
        <v>39000</v>
      </c>
      <c r="O10" s="37" t="n">
        <v>34</v>
      </c>
      <c r="P10" s="37" t="n">
        <v>205</v>
      </c>
      <c r="Q10" s="37" t="n">
        <v>18</v>
      </c>
      <c r="R10" s="76" t="n">
        <v>0.5</v>
      </c>
      <c r="S10" s="77" t="n">
        <v>380</v>
      </c>
      <c r="T10" s="77" t="n">
        <v>45</v>
      </c>
      <c r="U10" s="77" t="n">
        <v>0</v>
      </c>
      <c r="V10" s="77" t="n">
        <v>25</v>
      </c>
      <c r="W10" s="34" t="inlineStr">
        <is>
          <t>Ethan Cole, 555-0105</t>
        </is>
      </c>
      <c r="X10" s="78" t="n">
        <v>46276.39583333334</v>
      </c>
      <c r="Y10" s="46" t="inlineStr">
        <is>
          <t>Low contribution; accepted for service need.</t>
        </is>
      </c>
      <c r="Z10" s="71">
        <f>IF($A10="","",SUM($S10:$U10))</f>
        <v/>
      </c>
      <c r="AA10" s="72">
        <f>IF($A10="","",IFERROR($Z10/$P10,0))</f>
        <v/>
      </c>
      <c r="AB10" s="41">
        <f>IF($A10="","",SUM($O10:$Q10))</f>
        <v/>
      </c>
      <c r="AC10" s="41">
        <f>IF($A10="","",IFERROR(INDEX('Planner'!$N$6:$N$205,MATCH($B10,'Planner'!$A$6:$A$205,0)),0))</f>
        <v/>
      </c>
      <c r="AD10" s="41">
        <f>IF($A10="","",$AC10-$O10-$Q10)</f>
        <v/>
      </c>
      <c r="AE10" s="41">
        <f>IF($A10="","",$AB10-$AC10)</f>
        <v/>
      </c>
      <c r="AF10" s="73">
        <f>IF($A10="","",IFERROR($AB10/'Settings'!$B$5,0))</f>
        <v/>
      </c>
      <c r="AG10" s="71">
        <f>IF($A10="","",$AF10*'Settings'!$B$4)</f>
        <v/>
      </c>
      <c r="AH10" s="71">
        <f>IF($A10="","",$AE10*'Settings'!$B$17)</f>
        <v/>
      </c>
      <c r="AI10" s="71">
        <f>IF($A10="","",$R10*'Settings'!$B$7)</f>
        <v/>
      </c>
      <c r="AJ10" s="71">
        <f>IF($A10="","",$Z10-$V10-$AH10-$AI10)</f>
        <v/>
      </c>
      <c r="AK10" s="72">
        <f>IF($A10="","",IFERROR($AJ10/$AB10,0))</f>
        <v/>
      </c>
      <c r="AL10" s="38">
        <f>IF($A10="","",IF(OR($C10="Passed",$C10="Expired",$C10="Canceled"),$C10,IF($C10="Completed","Completed",IF(AND($O10&lt;='Settings'!$B$8,$AA10&gt;='Settings'!$B$10,$AJ10&gt;='Settings'!$B$9),IF($C10="Booked","Booked - Meets Targets","Meets Targets"),IF($C10="Booked","Booked - Below Target","Review")))))</f>
        <v/>
      </c>
      <c r="AM10" s="38">
        <f>IF($A10="","",IF(COUNTIF($A$6:$A$205,$A10)&gt;1,"Duplicate Load ID",IF(COUNTIF('Planner'!$A$6:$A$205,$B10)=0,"Trip ID not found",IF(($G10+$H10)&gt;($K10+$L10),"Check schedule",IF(MIN($N10,$O10,$P10,$Q10,$R10,$S10,$T10,$U10,$V10)&lt;0,"Negative value","OK")))))</f>
        <v/>
      </c>
    </row>
    <row r="11">
      <c r="A11" s="34" t="inlineStr">
        <is>
          <t>BH-1006</t>
        </is>
      </c>
      <c r="B11" s="34" t="inlineStr">
        <is>
          <t>TRP-2506</t>
        </is>
      </c>
      <c r="C11" s="34" t="inlineStr">
        <is>
          <t>Passed</t>
        </is>
      </c>
      <c r="D11" s="34" t="inlineStr">
        <is>
          <t>Southwest Cold Chain</t>
        </is>
      </c>
      <c r="E11" s="34" t="inlineStr">
        <is>
          <t>Tempe</t>
        </is>
      </c>
      <c r="F11" s="34" t="inlineStr">
        <is>
          <t>AZ</t>
        </is>
      </c>
      <c r="G11" s="69" t="n">
        <v>46278</v>
      </c>
      <c r="H11" s="36" t="n">
        <v>0.5416666666666666</v>
      </c>
      <c r="I11" s="34" t="inlineStr">
        <is>
          <t>Las Vegas</t>
        </is>
      </c>
      <c r="J11" s="34" t="inlineStr">
        <is>
          <t>NV</t>
        </is>
      </c>
      <c r="K11" s="69" t="n">
        <v>46278</v>
      </c>
      <c r="L11" s="36" t="n">
        <v>0.875</v>
      </c>
      <c r="M11" s="34" t="inlineStr">
        <is>
          <t>Reefer</t>
        </is>
      </c>
      <c r="N11" s="75" t="n">
        <v>41500</v>
      </c>
      <c r="O11" s="37" t="n">
        <v>14</v>
      </c>
      <c r="P11" s="37" t="n">
        <v>300</v>
      </c>
      <c r="Q11" s="37" t="n">
        <v>8</v>
      </c>
      <c r="R11" s="76" t="n">
        <v>2</v>
      </c>
      <c r="S11" s="77" t="n">
        <v>760</v>
      </c>
      <c r="T11" s="77" t="n">
        <v>125</v>
      </c>
      <c r="U11" s="77" t="n">
        <v>0</v>
      </c>
      <c r="V11" s="77" t="n">
        <v>40</v>
      </c>
      <c r="W11" s="34" t="inlineStr">
        <is>
          <t>Ava Morgan, 555-0106</t>
        </is>
      </c>
      <c r="X11" s="78" t="n">
        <v>46277.70833333334</v>
      </c>
      <c r="Y11" s="46" t="inlineStr">
        <is>
          <t>Passed due to next-day capacity plan.</t>
        </is>
      </c>
      <c r="Z11" s="71">
        <f>IF($A11="","",SUM($S11:$U11))</f>
        <v/>
      </c>
      <c r="AA11" s="72">
        <f>IF($A11="","",IFERROR($Z11/$P11,0))</f>
        <v/>
      </c>
      <c r="AB11" s="41">
        <f>IF($A11="","",SUM($O11:$Q11))</f>
        <v/>
      </c>
      <c r="AC11" s="41">
        <f>IF($A11="","",IFERROR(INDEX('Planner'!$N$6:$N$205,MATCH($B11,'Planner'!$A$6:$A$205,0)),0))</f>
        <v/>
      </c>
      <c r="AD11" s="41">
        <f>IF($A11="","",$AC11-$O11-$Q11)</f>
        <v/>
      </c>
      <c r="AE11" s="41">
        <f>IF($A11="","",$AB11-$AC11)</f>
        <v/>
      </c>
      <c r="AF11" s="73">
        <f>IF($A11="","",IFERROR($AB11/'Settings'!$B$5,0))</f>
        <v/>
      </c>
      <c r="AG11" s="71">
        <f>IF($A11="","",$AF11*'Settings'!$B$4)</f>
        <v/>
      </c>
      <c r="AH11" s="71">
        <f>IF($A11="","",$AE11*'Settings'!$B$17)</f>
        <v/>
      </c>
      <c r="AI11" s="71">
        <f>IF($A11="","",$R11*'Settings'!$B$7)</f>
        <v/>
      </c>
      <c r="AJ11" s="71">
        <f>IF($A11="","",$Z11-$V11-$AH11-$AI11)</f>
        <v/>
      </c>
      <c r="AK11" s="72">
        <f>IF($A11="","",IFERROR($AJ11/$AB11,0))</f>
        <v/>
      </c>
      <c r="AL11" s="38">
        <f>IF($A11="","",IF(OR($C11="Passed",$C11="Expired",$C11="Canceled"),$C11,IF($C11="Completed","Completed",IF(AND($O11&lt;='Settings'!$B$8,$AA11&gt;='Settings'!$B$10,$AJ11&gt;='Settings'!$B$9),IF($C11="Booked","Booked - Meets Targets","Meets Targets"),IF($C11="Booked","Booked - Below Target","Review")))))</f>
        <v/>
      </c>
      <c r="AM11" s="38">
        <f>IF($A11="","",IF(COUNTIF($A$6:$A$205,$A11)&gt;1,"Duplicate Load ID",IF(COUNTIF('Planner'!$A$6:$A$205,$B11)=0,"Trip ID not found",IF(($G11+$H11)&gt;($K11+$L11),"Check schedule",IF(MIN($N11,$O11,$P11,$Q11,$R11,$S11,$T11,$U11,$V11)&lt;0,"Negative value","OK")))))</f>
        <v/>
      </c>
    </row>
    <row r="12">
      <c r="A12" s="34" t="inlineStr">
        <is>
          <t>BH-1007</t>
        </is>
      </c>
      <c r="B12" s="34" t="inlineStr">
        <is>
          <t>TRP-2507</t>
        </is>
      </c>
      <c r="C12" s="34" t="inlineStr">
        <is>
          <t>Completed</t>
        </is>
      </c>
      <c r="D12" s="34" t="inlineStr">
        <is>
          <t>Prairie State Transport</t>
        </is>
      </c>
      <c r="E12" s="34" t="inlineStr">
        <is>
          <t>Edwardsville</t>
        </is>
      </c>
      <c r="F12" s="34" t="inlineStr">
        <is>
          <t>IL</t>
        </is>
      </c>
      <c r="G12" s="69" t="n">
        <v>46271</v>
      </c>
      <c r="H12" s="36" t="n">
        <v>0.4375</v>
      </c>
      <c r="I12" s="34" t="inlineStr">
        <is>
          <t>Kansas City</t>
        </is>
      </c>
      <c r="J12" s="34" t="inlineStr">
        <is>
          <t>MO</t>
        </is>
      </c>
      <c r="K12" s="69" t="n">
        <v>46271</v>
      </c>
      <c r="L12" s="36" t="n">
        <v>0.7083333333333334</v>
      </c>
      <c r="M12" s="34" t="inlineStr">
        <is>
          <t>Dry Van</t>
        </is>
      </c>
      <c r="N12" s="75" t="n">
        <v>43000</v>
      </c>
      <c r="O12" s="37" t="n">
        <v>24</v>
      </c>
      <c r="P12" s="37" t="n">
        <v>250</v>
      </c>
      <c r="Q12" s="37" t="n">
        <v>16</v>
      </c>
      <c r="R12" s="76" t="n">
        <v>0.5</v>
      </c>
      <c r="S12" s="77" t="n">
        <v>610</v>
      </c>
      <c r="T12" s="77" t="n">
        <v>100</v>
      </c>
      <c r="U12" s="77" t="n">
        <v>25</v>
      </c>
      <c r="V12" s="77" t="n">
        <v>30</v>
      </c>
      <c r="W12" s="34" t="inlineStr">
        <is>
          <t>Noah Grant, 555-0107</t>
        </is>
      </c>
      <c r="X12" s="78" t="n">
        <v>46271.39583333334</v>
      </c>
      <c r="Y12" s="46" t="inlineStr">
        <is>
          <t>Detention approved in advance.</t>
        </is>
      </c>
      <c r="Z12" s="71">
        <f>IF($A12="","",SUM($S12:$U12))</f>
        <v/>
      </c>
      <c r="AA12" s="72">
        <f>IF($A12="","",IFERROR($Z12/$P12,0))</f>
        <v/>
      </c>
      <c r="AB12" s="41">
        <f>IF($A12="","",SUM($O12:$Q12))</f>
        <v/>
      </c>
      <c r="AC12" s="41">
        <f>IF($A12="","",IFERROR(INDEX('Planner'!$N$6:$N$205,MATCH($B12,'Planner'!$A$6:$A$205,0)),0))</f>
        <v/>
      </c>
      <c r="AD12" s="41">
        <f>IF($A12="","",$AC12-$O12-$Q12)</f>
        <v/>
      </c>
      <c r="AE12" s="41">
        <f>IF($A12="","",$AB12-$AC12)</f>
        <v/>
      </c>
      <c r="AF12" s="73">
        <f>IF($A12="","",IFERROR($AB12/'Settings'!$B$5,0))</f>
        <v/>
      </c>
      <c r="AG12" s="71">
        <f>IF($A12="","",$AF12*'Settings'!$B$4)</f>
        <v/>
      </c>
      <c r="AH12" s="71">
        <f>IF($A12="","",$AE12*'Settings'!$B$17)</f>
        <v/>
      </c>
      <c r="AI12" s="71">
        <f>IF($A12="","",$R12*'Settings'!$B$7)</f>
        <v/>
      </c>
      <c r="AJ12" s="71">
        <f>IF($A12="","",$Z12-$V12-$AH12-$AI12)</f>
        <v/>
      </c>
      <c r="AK12" s="72">
        <f>IF($A12="","",IFERROR($AJ12/$AB12,0))</f>
        <v/>
      </c>
      <c r="AL12" s="38">
        <f>IF($A12="","",IF(OR($C12="Passed",$C12="Expired",$C12="Canceled"),$C12,IF($C12="Completed","Completed",IF(AND($O12&lt;='Settings'!$B$8,$AA12&gt;='Settings'!$B$10,$AJ12&gt;='Settings'!$B$9),IF($C12="Booked","Booked - Meets Targets","Meets Targets"),IF($C12="Booked","Booked - Below Target","Review")))))</f>
        <v/>
      </c>
      <c r="AM12" s="38">
        <f>IF($A12="","",IF(COUNTIF($A$6:$A$205,$A12)&gt;1,"Duplicate Load ID",IF(COUNTIF('Planner'!$A$6:$A$205,$B12)=0,"Trip ID not found",IF(($G12+$H12)&gt;($K12+$L12),"Check schedule",IF(MIN($N12,$O12,$P12,$Q12,$R12,$S12,$T12,$U12,$V12)&lt;0,"Negative value","OK")))))</f>
        <v/>
      </c>
    </row>
    <row r="13">
      <c r="A13" s="34" t="inlineStr">
        <is>
          <t>BH-1008</t>
        </is>
      </c>
      <c r="B13" s="34" t="inlineStr">
        <is>
          <t>TRP-2508</t>
        </is>
      </c>
      <c r="C13" s="34" t="inlineStr">
        <is>
          <t>Hold</t>
        </is>
      </c>
      <c r="D13" s="34" t="inlineStr">
        <is>
          <t>Northwest Paper Co.</t>
        </is>
      </c>
      <c r="E13" s="34" t="inlineStr">
        <is>
          <t>Tacoma</t>
        </is>
      </c>
      <c r="F13" s="34" t="inlineStr">
        <is>
          <t>WA</t>
        </is>
      </c>
      <c r="G13" s="69" t="n">
        <v>46280</v>
      </c>
      <c r="H13" s="36" t="n">
        <v>0.5416666666666666</v>
      </c>
      <c r="I13" s="34" t="inlineStr">
        <is>
          <t>Portland</t>
        </is>
      </c>
      <c r="J13" s="34" t="inlineStr">
        <is>
          <t>OR</t>
        </is>
      </c>
      <c r="K13" s="69" t="n">
        <v>46280</v>
      </c>
      <c r="L13" s="36" t="n">
        <v>0.7916666666666666</v>
      </c>
      <c r="M13" s="34" t="inlineStr">
        <is>
          <t>Dry Van</t>
        </is>
      </c>
      <c r="N13" s="75" t="n">
        <v>37000</v>
      </c>
      <c r="O13" s="37" t="n">
        <v>36</v>
      </c>
      <c r="P13" s="37" t="n">
        <v>145</v>
      </c>
      <c r="Q13" s="37" t="n">
        <v>12</v>
      </c>
      <c r="R13" s="76" t="n">
        <v>24</v>
      </c>
      <c r="S13" s="77" t="n">
        <v>480</v>
      </c>
      <c r="T13" s="77" t="n">
        <v>70</v>
      </c>
      <c r="U13" s="77" t="n">
        <v>0</v>
      </c>
      <c r="V13" s="77" t="n">
        <v>25</v>
      </c>
      <c r="W13" s="34" t="inlineStr">
        <is>
          <t>Chloe Adams, 555-0108</t>
        </is>
      </c>
      <c r="X13" s="78" t="n">
        <v>46279.70833333334</v>
      </c>
      <c r="Y13" s="46" t="inlineStr">
        <is>
          <t>Long wait makes contribution unattractive.</t>
        </is>
      </c>
      <c r="Z13" s="71">
        <f>IF($A13="","",SUM($S13:$U13))</f>
        <v/>
      </c>
      <c r="AA13" s="72">
        <f>IF($A13="","",IFERROR($Z13/$P13,0))</f>
        <v/>
      </c>
      <c r="AB13" s="41">
        <f>IF($A13="","",SUM($O13:$Q13))</f>
        <v/>
      </c>
      <c r="AC13" s="41">
        <f>IF($A13="","",IFERROR(INDEX('Planner'!$N$6:$N$205,MATCH($B13,'Planner'!$A$6:$A$205,0)),0))</f>
        <v/>
      </c>
      <c r="AD13" s="41">
        <f>IF($A13="","",$AC13-$O13-$Q13)</f>
        <v/>
      </c>
      <c r="AE13" s="41">
        <f>IF($A13="","",$AB13-$AC13)</f>
        <v/>
      </c>
      <c r="AF13" s="73">
        <f>IF($A13="","",IFERROR($AB13/'Settings'!$B$5,0))</f>
        <v/>
      </c>
      <c r="AG13" s="71">
        <f>IF($A13="","",$AF13*'Settings'!$B$4)</f>
        <v/>
      </c>
      <c r="AH13" s="71">
        <f>IF($A13="","",$AE13*'Settings'!$B$17)</f>
        <v/>
      </c>
      <c r="AI13" s="71">
        <f>IF($A13="","",$R13*'Settings'!$B$7)</f>
        <v/>
      </c>
      <c r="AJ13" s="71">
        <f>IF($A13="","",$Z13-$V13-$AH13-$AI13)</f>
        <v/>
      </c>
      <c r="AK13" s="72">
        <f>IF($A13="","",IFERROR($AJ13/$AB13,0))</f>
        <v/>
      </c>
      <c r="AL13" s="38">
        <f>IF($A13="","",IF(OR($C13="Passed",$C13="Expired",$C13="Canceled"),$C13,IF($C13="Completed","Completed",IF(AND($O13&lt;='Settings'!$B$8,$AA13&gt;='Settings'!$B$10,$AJ13&gt;='Settings'!$B$9),IF($C13="Booked","Booked - Meets Targets","Meets Targets"),IF($C13="Booked","Booked - Below Target","Review")))))</f>
        <v/>
      </c>
      <c r="AM13" s="38">
        <f>IF($A13="","",IF(COUNTIF($A$6:$A$205,$A13)&gt;1,"Duplicate Load ID",IF(COUNTIF('Planner'!$A$6:$A$205,$B13)=0,"Trip ID not found",IF(($G13+$H13)&gt;($K13+$L13),"Check schedule",IF(MIN($N13,$O13,$P13,$Q13,$R13,$S13,$T13,$U13,$V13)&lt;0,"Negative value","OK")))))</f>
        <v/>
      </c>
    </row>
    <row r="14">
      <c r="A14" s="34" t="inlineStr">
        <is>
          <t>BH-1009</t>
        </is>
      </c>
      <c r="B14" s="34" t="inlineStr">
        <is>
          <t>TRP-2509</t>
        </is>
      </c>
      <c r="C14" s="34" t="inlineStr">
        <is>
          <t>Expired</t>
        </is>
      </c>
      <c r="D14" s="34" t="inlineStr">
        <is>
          <t>Sun Coast Foods</t>
        </is>
      </c>
      <c r="E14" s="34" t="inlineStr">
        <is>
          <t>Hialeah</t>
        </is>
      </c>
      <c r="F14" s="34" t="inlineStr">
        <is>
          <t>FL</t>
        </is>
      </c>
      <c r="G14" s="69" t="n">
        <v>46281</v>
      </c>
      <c r="H14" s="36" t="n">
        <v>0.5416666666666666</v>
      </c>
      <c r="I14" s="34" t="inlineStr">
        <is>
          <t>Orlando</t>
        </is>
      </c>
      <c r="J14" s="34" t="inlineStr">
        <is>
          <t>FL</t>
        </is>
      </c>
      <c r="K14" s="69" t="n">
        <v>46281</v>
      </c>
      <c r="L14" s="36" t="n">
        <v>0.7916666666666666</v>
      </c>
      <c r="M14" s="34" t="inlineStr">
        <is>
          <t>Reefer</t>
        </is>
      </c>
      <c r="N14" s="75" t="n">
        <v>40500</v>
      </c>
      <c r="O14" s="37" t="n">
        <v>15</v>
      </c>
      <c r="P14" s="37" t="n">
        <v>235</v>
      </c>
      <c r="Q14" s="37" t="n">
        <v>10</v>
      </c>
      <c r="R14" s="76" t="n">
        <v>1</v>
      </c>
      <c r="S14" s="77" t="n">
        <v>620</v>
      </c>
      <c r="T14" s="77" t="n">
        <v>105</v>
      </c>
      <c r="U14" s="77" t="n">
        <v>0</v>
      </c>
      <c r="V14" s="77" t="n">
        <v>35</v>
      </c>
      <c r="W14" s="34" t="inlineStr">
        <is>
          <t>Leo Bennett, 555-0109</t>
        </is>
      </c>
      <c r="X14" s="78" t="n">
        <v>46280.5</v>
      </c>
      <c r="Y14" s="46" t="inlineStr">
        <is>
          <t>Opportunity expired after outbound cancellation.</t>
        </is>
      </c>
      <c r="Z14" s="71">
        <f>IF($A14="","",SUM($S14:$U14))</f>
        <v/>
      </c>
      <c r="AA14" s="72">
        <f>IF($A14="","",IFERROR($Z14/$P14,0))</f>
        <v/>
      </c>
      <c r="AB14" s="41">
        <f>IF($A14="","",SUM($O14:$Q14))</f>
        <v/>
      </c>
      <c r="AC14" s="41">
        <f>IF($A14="","",IFERROR(INDEX('Planner'!$N$6:$N$205,MATCH($B14,'Planner'!$A$6:$A$205,0)),0))</f>
        <v/>
      </c>
      <c r="AD14" s="41">
        <f>IF($A14="","",$AC14-$O14-$Q14)</f>
        <v/>
      </c>
      <c r="AE14" s="41">
        <f>IF($A14="","",$AB14-$AC14)</f>
        <v/>
      </c>
      <c r="AF14" s="73">
        <f>IF($A14="","",IFERROR($AB14/'Settings'!$B$5,0))</f>
        <v/>
      </c>
      <c r="AG14" s="71">
        <f>IF($A14="","",$AF14*'Settings'!$B$4)</f>
        <v/>
      </c>
      <c r="AH14" s="71">
        <f>IF($A14="","",$AE14*'Settings'!$B$17)</f>
        <v/>
      </c>
      <c r="AI14" s="71">
        <f>IF($A14="","",$R14*'Settings'!$B$7)</f>
        <v/>
      </c>
      <c r="AJ14" s="71">
        <f>IF($A14="","",$Z14-$V14-$AH14-$AI14)</f>
        <v/>
      </c>
      <c r="AK14" s="72">
        <f>IF($A14="","",IFERROR($AJ14/$AB14,0))</f>
        <v/>
      </c>
      <c r="AL14" s="38">
        <f>IF($A14="","",IF(OR($C14="Passed",$C14="Expired",$C14="Canceled"),$C14,IF($C14="Completed","Completed",IF(AND($O14&lt;='Settings'!$B$8,$AA14&gt;='Settings'!$B$10,$AJ14&gt;='Settings'!$B$9),IF($C14="Booked","Booked - Meets Targets","Meets Targets"),IF($C14="Booked","Booked - Below Target","Review")))))</f>
        <v/>
      </c>
      <c r="AM14" s="38">
        <f>IF($A14="","",IF(COUNTIF($A$6:$A$205,$A14)&gt;1,"Duplicate Load ID",IF(COUNTIF('Planner'!$A$6:$A$205,$B14)=0,"Trip ID not found",IF(($G14+$H14)&gt;($K14+$L14),"Check schedule",IF(MIN($N14,$O14,$P14,$Q14,$R14,$S14,$T14,$U14,$V14)&lt;0,"Negative value","OK")))))</f>
        <v/>
      </c>
    </row>
    <row r="15">
      <c r="A15" s="34" t="inlineStr">
        <is>
          <t>BH-1010</t>
        </is>
      </c>
      <c r="B15" s="34" t="inlineStr">
        <is>
          <t>TRP-2510</t>
        </is>
      </c>
      <c r="C15" s="34" t="inlineStr">
        <is>
          <t>Booked</t>
        </is>
      </c>
      <c r="D15" s="34" t="inlineStr">
        <is>
          <t>Delta Industrial Freight</t>
        </is>
      </c>
      <c r="E15" s="34" t="inlineStr">
        <is>
          <t>Bessemer</t>
        </is>
      </c>
      <c r="F15" s="34" t="inlineStr">
        <is>
          <t>AL</t>
        </is>
      </c>
      <c r="G15" s="69" t="n">
        <v>46282</v>
      </c>
      <c r="H15" s="36" t="n">
        <v>0.4583333333333333</v>
      </c>
      <c r="I15" s="34" t="inlineStr">
        <is>
          <t>Memphis</t>
        </is>
      </c>
      <c r="J15" s="34" t="inlineStr">
        <is>
          <t>TN</t>
        </is>
      </c>
      <c r="K15" s="69" t="n">
        <v>46282</v>
      </c>
      <c r="L15" s="36" t="n">
        <v>0.7291666666666666</v>
      </c>
      <c r="M15" s="34" t="inlineStr">
        <is>
          <t>Flatbed</t>
        </is>
      </c>
      <c r="N15" s="75" t="n">
        <v>44000</v>
      </c>
      <c r="O15" s="37" t="n">
        <v>15</v>
      </c>
      <c r="P15" s="37" t="n">
        <v>235</v>
      </c>
      <c r="Q15" s="37" t="n">
        <v>10</v>
      </c>
      <c r="R15" s="76" t="n">
        <v>0.5</v>
      </c>
      <c r="S15" s="77" t="n">
        <v>590</v>
      </c>
      <c r="T15" s="77" t="n">
        <v>95</v>
      </c>
      <c r="U15" s="77" t="n">
        <v>20</v>
      </c>
      <c r="V15" s="77" t="n">
        <v>30</v>
      </c>
      <c r="W15" s="34" t="inlineStr">
        <is>
          <t>Grace Turner, 555-0110</t>
        </is>
      </c>
      <c r="X15" s="78" t="n">
        <v>46282.39583333334</v>
      </c>
      <c r="Y15" s="46" t="inlineStr">
        <is>
          <t>Confirm tarp and securement details.</t>
        </is>
      </c>
      <c r="Z15" s="71">
        <f>IF($A15="","",SUM($S15:$U15))</f>
        <v/>
      </c>
      <c r="AA15" s="72">
        <f>IF($A15="","",IFERROR($Z15/$P15,0))</f>
        <v/>
      </c>
      <c r="AB15" s="41">
        <f>IF($A15="","",SUM($O15:$Q15))</f>
        <v/>
      </c>
      <c r="AC15" s="41">
        <f>IF($A15="","",IFERROR(INDEX('Planner'!$N$6:$N$205,MATCH($B15,'Planner'!$A$6:$A$205,0)),0))</f>
        <v/>
      </c>
      <c r="AD15" s="41">
        <f>IF($A15="","",$AC15-$O15-$Q15)</f>
        <v/>
      </c>
      <c r="AE15" s="41">
        <f>IF($A15="","",$AB15-$AC15)</f>
        <v/>
      </c>
      <c r="AF15" s="73">
        <f>IF($A15="","",IFERROR($AB15/'Settings'!$B$5,0))</f>
        <v/>
      </c>
      <c r="AG15" s="71">
        <f>IF($A15="","",$AF15*'Settings'!$B$4)</f>
        <v/>
      </c>
      <c r="AH15" s="71">
        <f>IF($A15="","",$AE15*'Settings'!$B$17)</f>
        <v/>
      </c>
      <c r="AI15" s="71">
        <f>IF($A15="","",$R15*'Settings'!$B$7)</f>
        <v/>
      </c>
      <c r="AJ15" s="71">
        <f>IF($A15="","",$Z15-$V15-$AH15-$AI15)</f>
        <v/>
      </c>
      <c r="AK15" s="72">
        <f>IF($A15="","",IFERROR($AJ15/$AB15,0))</f>
        <v/>
      </c>
      <c r="AL15" s="38">
        <f>IF($A15="","",IF(OR($C15="Passed",$C15="Expired",$C15="Canceled"),$C15,IF($C15="Completed","Completed",IF(AND($O15&lt;='Settings'!$B$8,$AA15&gt;='Settings'!$B$10,$AJ15&gt;='Settings'!$B$9),IF($C15="Booked","Booked - Meets Targets","Meets Targets"),IF($C15="Booked","Booked - Below Target","Review")))))</f>
        <v/>
      </c>
      <c r="AM15" s="38">
        <f>IF($A15="","",IF(COUNTIF($A$6:$A$205,$A15)&gt;1,"Duplicate Load ID",IF(COUNTIF('Planner'!$A$6:$A$205,$B15)=0,"Trip ID not found",IF(($G15+$H15)&gt;($K15+$L15),"Check schedule",IF(MIN($N15,$O15,$P15,$Q15,$R15,$S15,$T15,$U15,$V15)&lt;0,"Negative value","OK")))))</f>
        <v/>
      </c>
    </row>
    <row r="16">
      <c r="A16" s="34" t="n"/>
      <c r="B16" s="34" t="n"/>
      <c r="C16" s="34" t="n"/>
      <c r="D16" s="34" t="n"/>
      <c r="E16" s="34" t="n"/>
      <c r="F16" s="34" t="n"/>
      <c r="G16" s="69" t="n"/>
      <c r="H16" s="36" t="n"/>
      <c r="I16" s="34" t="n"/>
      <c r="J16" s="34" t="n"/>
      <c r="K16" s="69" t="n"/>
      <c r="L16" s="36" t="n"/>
      <c r="M16" s="34" t="n"/>
      <c r="N16" s="75" t="n"/>
      <c r="O16" s="37" t="n"/>
      <c r="P16" s="37" t="n"/>
      <c r="Q16" s="37" t="n"/>
      <c r="R16" s="76" t="n"/>
      <c r="S16" s="77" t="n"/>
      <c r="T16" s="77" t="n"/>
      <c r="U16" s="77" t="n"/>
      <c r="V16" s="77" t="n"/>
      <c r="W16" s="34" t="n"/>
      <c r="X16" s="78" t="n"/>
      <c r="Y16" s="46" t="n"/>
      <c r="Z16" s="71">
        <f>IF($A16="","",SUM($S16:$U16))</f>
        <v/>
      </c>
      <c r="AA16" s="72">
        <f>IF($A16="","",IFERROR($Z16/$P16,0))</f>
        <v/>
      </c>
      <c r="AB16" s="41">
        <f>IF($A16="","",SUM($O16:$Q16))</f>
        <v/>
      </c>
      <c r="AC16" s="41">
        <f>IF($A16="","",IFERROR(INDEX('Planner'!$N$6:$N$205,MATCH($B16,'Planner'!$A$6:$A$205,0)),0))</f>
        <v/>
      </c>
      <c r="AD16" s="41">
        <f>IF($A16="","",$AC16-$O16-$Q16)</f>
        <v/>
      </c>
      <c r="AE16" s="41">
        <f>IF($A16="","",$AB16-$AC16)</f>
        <v/>
      </c>
      <c r="AF16" s="73">
        <f>IF($A16="","",IFERROR($AB16/'Settings'!$B$5,0))</f>
        <v/>
      </c>
      <c r="AG16" s="71">
        <f>IF($A16="","",$AF16*'Settings'!$B$4)</f>
        <v/>
      </c>
      <c r="AH16" s="71">
        <f>IF($A16="","",$AE16*'Settings'!$B$17)</f>
        <v/>
      </c>
      <c r="AI16" s="71">
        <f>IF($A16="","",$R16*'Settings'!$B$7)</f>
        <v/>
      </c>
      <c r="AJ16" s="71">
        <f>IF($A16="","",$Z16-$V16-$AH16-$AI16)</f>
        <v/>
      </c>
      <c r="AK16" s="72">
        <f>IF($A16="","",IFERROR($AJ16/$AB16,0))</f>
        <v/>
      </c>
      <c r="AL16" s="38">
        <f>IF($A16="","",IF(OR($C16="Passed",$C16="Expired",$C16="Canceled"),$C16,IF($C16="Completed","Completed",IF(AND($O16&lt;='Settings'!$B$8,$AA16&gt;='Settings'!$B$10,$AJ16&gt;='Settings'!$B$9),IF($C16="Booked","Booked - Meets Targets","Meets Targets"),IF($C16="Booked","Booked - Below Target","Review")))))</f>
        <v/>
      </c>
      <c r="AM16" s="38">
        <f>IF($A16="","",IF(COUNTIF($A$6:$A$205,$A16)&gt;1,"Duplicate Load ID",IF(COUNTIF('Planner'!$A$6:$A$205,$B16)=0,"Trip ID not found",IF(($G16+$H16)&gt;($K16+$L16),"Check schedule",IF(MIN($N16,$O16,$P16,$Q16,$R16,$S16,$T16,$U16,$V16)&lt;0,"Negative value","OK")))))</f>
        <v/>
      </c>
    </row>
    <row r="17">
      <c r="A17" s="34" t="n"/>
      <c r="B17" s="34" t="n"/>
      <c r="C17" s="34" t="n"/>
      <c r="D17" s="34" t="n"/>
      <c r="E17" s="34" t="n"/>
      <c r="F17" s="34" t="n"/>
      <c r="G17" s="69" t="n"/>
      <c r="H17" s="36" t="n"/>
      <c r="I17" s="34" t="n"/>
      <c r="J17" s="34" t="n"/>
      <c r="K17" s="69" t="n"/>
      <c r="L17" s="36" t="n"/>
      <c r="M17" s="34" t="n"/>
      <c r="N17" s="75" t="n"/>
      <c r="O17" s="37" t="n"/>
      <c r="P17" s="37" t="n"/>
      <c r="Q17" s="37" t="n"/>
      <c r="R17" s="76" t="n"/>
      <c r="S17" s="77" t="n"/>
      <c r="T17" s="77" t="n"/>
      <c r="U17" s="77" t="n"/>
      <c r="V17" s="77" t="n"/>
      <c r="W17" s="34" t="n"/>
      <c r="X17" s="78" t="n"/>
      <c r="Y17" s="46" t="n"/>
      <c r="Z17" s="71">
        <f>IF($A17="","",SUM($S17:$U17))</f>
        <v/>
      </c>
      <c r="AA17" s="72">
        <f>IF($A17="","",IFERROR($Z17/$P17,0))</f>
        <v/>
      </c>
      <c r="AB17" s="41">
        <f>IF($A17="","",SUM($O17:$Q17))</f>
        <v/>
      </c>
      <c r="AC17" s="41">
        <f>IF($A17="","",IFERROR(INDEX('Planner'!$N$6:$N$205,MATCH($B17,'Planner'!$A$6:$A$205,0)),0))</f>
        <v/>
      </c>
      <c r="AD17" s="41">
        <f>IF($A17="","",$AC17-$O17-$Q17)</f>
        <v/>
      </c>
      <c r="AE17" s="41">
        <f>IF($A17="","",$AB17-$AC17)</f>
        <v/>
      </c>
      <c r="AF17" s="73">
        <f>IF($A17="","",IFERROR($AB17/'Settings'!$B$5,0))</f>
        <v/>
      </c>
      <c r="AG17" s="71">
        <f>IF($A17="","",$AF17*'Settings'!$B$4)</f>
        <v/>
      </c>
      <c r="AH17" s="71">
        <f>IF($A17="","",$AE17*'Settings'!$B$17)</f>
        <v/>
      </c>
      <c r="AI17" s="71">
        <f>IF($A17="","",$R17*'Settings'!$B$7)</f>
        <v/>
      </c>
      <c r="AJ17" s="71">
        <f>IF($A17="","",$Z17-$V17-$AH17-$AI17)</f>
        <v/>
      </c>
      <c r="AK17" s="72">
        <f>IF($A17="","",IFERROR($AJ17/$AB17,0))</f>
        <v/>
      </c>
      <c r="AL17" s="38">
        <f>IF($A17="","",IF(OR($C17="Passed",$C17="Expired",$C17="Canceled"),$C17,IF($C17="Completed","Completed",IF(AND($O17&lt;='Settings'!$B$8,$AA17&gt;='Settings'!$B$10,$AJ17&gt;='Settings'!$B$9),IF($C17="Booked","Booked - Meets Targets","Meets Targets"),IF($C17="Booked","Booked - Below Target","Review")))))</f>
        <v/>
      </c>
      <c r="AM17" s="38">
        <f>IF($A17="","",IF(COUNTIF($A$6:$A$205,$A17)&gt;1,"Duplicate Load ID",IF(COUNTIF('Planner'!$A$6:$A$205,$B17)=0,"Trip ID not found",IF(($G17+$H17)&gt;($K17+$L17),"Check schedule",IF(MIN($N17,$O17,$P17,$Q17,$R17,$S17,$T17,$U17,$V17)&lt;0,"Negative value","OK")))))</f>
        <v/>
      </c>
    </row>
    <row r="18">
      <c r="A18" s="34" t="n"/>
      <c r="B18" s="34" t="n"/>
      <c r="C18" s="34" t="n"/>
      <c r="D18" s="34" t="n"/>
      <c r="E18" s="34" t="n"/>
      <c r="F18" s="34" t="n"/>
      <c r="G18" s="69" t="n"/>
      <c r="H18" s="36" t="n"/>
      <c r="I18" s="34" t="n"/>
      <c r="J18" s="34" t="n"/>
      <c r="K18" s="69" t="n"/>
      <c r="L18" s="36" t="n"/>
      <c r="M18" s="34" t="n"/>
      <c r="N18" s="75" t="n"/>
      <c r="O18" s="37" t="n"/>
      <c r="P18" s="37" t="n"/>
      <c r="Q18" s="37" t="n"/>
      <c r="R18" s="76" t="n"/>
      <c r="S18" s="77" t="n"/>
      <c r="T18" s="77" t="n"/>
      <c r="U18" s="77" t="n"/>
      <c r="V18" s="77" t="n"/>
      <c r="W18" s="34" t="n"/>
      <c r="X18" s="78" t="n"/>
      <c r="Y18" s="46" t="n"/>
      <c r="Z18" s="71">
        <f>IF($A18="","",SUM($S18:$U18))</f>
        <v/>
      </c>
      <c r="AA18" s="72">
        <f>IF($A18="","",IFERROR($Z18/$P18,0))</f>
        <v/>
      </c>
      <c r="AB18" s="41">
        <f>IF($A18="","",SUM($O18:$Q18))</f>
        <v/>
      </c>
      <c r="AC18" s="41">
        <f>IF($A18="","",IFERROR(INDEX('Planner'!$N$6:$N$205,MATCH($B18,'Planner'!$A$6:$A$205,0)),0))</f>
        <v/>
      </c>
      <c r="AD18" s="41">
        <f>IF($A18="","",$AC18-$O18-$Q18)</f>
        <v/>
      </c>
      <c r="AE18" s="41">
        <f>IF($A18="","",$AB18-$AC18)</f>
        <v/>
      </c>
      <c r="AF18" s="73">
        <f>IF($A18="","",IFERROR($AB18/'Settings'!$B$5,0))</f>
        <v/>
      </c>
      <c r="AG18" s="71">
        <f>IF($A18="","",$AF18*'Settings'!$B$4)</f>
        <v/>
      </c>
      <c r="AH18" s="71">
        <f>IF($A18="","",$AE18*'Settings'!$B$17)</f>
        <v/>
      </c>
      <c r="AI18" s="71">
        <f>IF($A18="","",$R18*'Settings'!$B$7)</f>
        <v/>
      </c>
      <c r="AJ18" s="71">
        <f>IF($A18="","",$Z18-$V18-$AH18-$AI18)</f>
        <v/>
      </c>
      <c r="AK18" s="72">
        <f>IF($A18="","",IFERROR($AJ18/$AB18,0))</f>
        <v/>
      </c>
      <c r="AL18" s="38">
        <f>IF($A18="","",IF(OR($C18="Passed",$C18="Expired",$C18="Canceled"),$C18,IF($C18="Completed","Completed",IF(AND($O18&lt;='Settings'!$B$8,$AA18&gt;='Settings'!$B$10,$AJ18&gt;='Settings'!$B$9),IF($C18="Booked","Booked - Meets Targets","Meets Targets"),IF($C18="Booked","Booked - Below Target","Review")))))</f>
        <v/>
      </c>
      <c r="AM18" s="38">
        <f>IF($A18="","",IF(COUNTIF($A$6:$A$205,$A18)&gt;1,"Duplicate Load ID",IF(COUNTIF('Planner'!$A$6:$A$205,$B18)=0,"Trip ID not found",IF(($G18+$H18)&gt;($K18+$L18),"Check schedule",IF(MIN($N18,$O18,$P18,$Q18,$R18,$S18,$T18,$U18,$V18)&lt;0,"Negative value","OK")))))</f>
        <v/>
      </c>
    </row>
    <row r="19">
      <c r="A19" s="34" t="n"/>
      <c r="B19" s="34" t="n"/>
      <c r="C19" s="34" t="n"/>
      <c r="D19" s="34" t="n"/>
      <c r="E19" s="34" t="n"/>
      <c r="F19" s="34" t="n"/>
      <c r="G19" s="69" t="n"/>
      <c r="H19" s="36" t="n"/>
      <c r="I19" s="34" t="n"/>
      <c r="J19" s="34" t="n"/>
      <c r="K19" s="69" t="n"/>
      <c r="L19" s="36" t="n"/>
      <c r="M19" s="34" t="n"/>
      <c r="N19" s="75" t="n"/>
      <c r="O19" s="37" t="n"/>
      <c r="P19" s="37" t="n"/>
      <c r="Q19" s="37" t="n"/>
      <c r="R19" s="76" t="n"/>
      <c r="S19" s="77" t="n"/>
      <c r="T19" s="77" t="n"/>
      <c r="U19" s="77" t="n"/>
      <c r="V19" s="77" t="n"/>
      <c r="W19" s="34" t="n"/>
      <c r="X19" s="78" t="n"/>
      <c r="Y19" s="46" t="n"/>
      <c r="Z19" s="71">
        <f>IF($A19="","",SUM($S19:$U19))</f>
        <v/>
      </c>
      <c r="AA19" s="72">
        <f>IF($A19="","",IFERROR($Z19/$P19,0))</f>
        <v/>
      </c>
      <c r="AB19" s="41">
        <f>IF($A19="","",SUM($O19:$Q19))</f>
        <v/>
      </c>
      <c r="AC19" s="41">
        <f>IF($A19="","",IFERROR(INDEX('Planner'!$N$6:$N$205,MATCH($B19,'Planner'!$A$6:$A$205,0)),0))</f>
        <v/>
      </c>
      <c r="AD19" s="41">
        <f>IF($A19="","",$AC19-$O19-$Q19)</f>
        <v/>
      </c>
      <c r="AE19" s="41">
        <f>IF($A19="","",$AB19-$AC19)</f>
        <v/>
      </c>
      <c r="AF19" s="73">
        <f>IF($A19="","",IFERROR($AB19/'Settings'!$B$5,0))</f>
        <v/>
      </c>
      <c r="AG19" s="71">
        <f>IF($A19="","",$AF19*'Settings'!$B$4)</f>
        <v/>
      </c>
      <c r="AH19" s="71">
        <f>IF($A19="","",$AE19*'Settings'!$B$17)</f>
        <v/>
      </c>
      <c r="AI19" s="71">
        <f>IF($A19="","",$R19*'Settings'!$B$7)</f>
        <v/>
      </c>
      <c r="AJ19" s="71">
        <f>IF($A19="","",$Z19-$V19-$AH19-$AI19)</f>
        <v/>
      </c>
      <c r="AK19" s="72">
        <f>IF($A19="","",IFERROR($AJ19/$AB19,0))</f>
        <v/>
      </c>
      <c r="AL19" s="38">
        <f>IF($A19="","",IF(OR($C19="Passed",$C19="Expired",$C19="Canceled"),$C19,IF($C19="Completed","Completed",IF(AND($O19&lt;='Settings'!$B$8,$AA19&gt;='Settings'!$B$10,$AJ19&gt;='Settings'!$B$9),IF($C19="Booked","Booked - Meets Targets","Meets Targets"),IF($C19="Booked","Booked - Below Target","Review")))))</f>
        <v/>
      </c>
      <c r="AM19" s="38">
        <f>IF($A19="","",IF(COUNTIF($A$6:$A$205,$A19)&gt;1,"Duplicate Load ID",IF(COUNTIF('Planner'!$A$6:$A$205,$B19)=0,"Trip ID not found",IF(($G19+$H19)&gt;($K19+$L19),"Check schedule",IF(MIN($N19,$O19,$P19,$Q19,$R19,$S19,$T19,$U19,$V19)&lt;0,"Negative value","OK")))))</f>
        <v/>
      </c>
    </row>
    <row r="20">
      <c r="A20" s="34" t="n"/>
      <c r="B20" s="34" t="n"/>
      <c r="C20" s="34" t="n"/>
      <c r="D20" s="34" t="n"/>
      <c r="E20" s="34" t="n"/>
      <c r="F20" s="34" t="n"/>
      <c r="G20" s="69" t="n"/>
      <c r="H20" s="36" t="n"/>
      <c r="I20" s="34" t="n"/>
      <c r="J20" s="34" t="n"/>
      <c r="K20" s="69" t="n"/>
      <c r="L20" s="36" t="n"/>
      <c r="M20" s="34" t="n"/>
      <c r="N20" s="75" t="n"/>
      <c r="O20" s="37" t="n"/>
      <c r="P20" s="37" t="n"/>
      <c r="Q20" s="37" t="n"/>
      <c r="R20" s="76" t="n"/>
      <c r="S20" s="77" t="n"/>
      <c r="T20" s="77" t="n"/>
      <c r="U20" s="77" t="n"/>
      <c r="V20" s="77" t="n"/>
      <c r="W20" s="34" t="n"/>
      <c r="X20" s="78" t="n"/>
      <c r="Y20" s="46" t="n"/>
      <c r="Z20" s="71">
        <f>IF($A20="","",SUM($S20:$U20))</f>
        <v/>
      </c>
      <c r="AA20" s="72">
        <f>IF($A20="","",IFERROR($Z20/$P20,0))</f>
        <v/>
      </c>
      <c r="AB20" s="41">
        <f>IF($A20="","",SUM($O20:$Q20))</f>
        <v/>
      </c>
      <c r="AC20" s="41">
        <f>IF($A20="","",IFERROR(INDEX('Planner'!$N$6:$N$205,MATCH($B20,'Planner'!$A$6:$A$205,0)),0))</f>
        <v/>
      </c>
      <c r="AD20" s="41">
        <f>IF($A20="","",$AC20-$O20-$Q20)</f>
        <v/>
      </c>
      <c r="AE20" s="41">
        <f>IF($A20="","",$AB20-$AC20)</f>
        <v/>
      </c>
      <c r="AF20" s="73">
        <f>IF($A20="","",IFERROR($AB20/'Settings'!$B$5,0))</f>
        <v/>
      </c>
      <c r="AG20" s="71">
        <f>IF($A20="","",$AF20*'Settings'!$B$4)</f>
        <v/>
      </c>
      <c r="AH20" s="71">
        <f>IF($A20="","",$AE20*'Settings'!$B$17)</f>
        <v/>
      </c>
      <c r="AI20" s="71">
        <f>IF($A20="","",$R20*'Settings'!$B$7)</f>
        <v/>
      </c>
      <c r="AJ20" s="71">
        <f>IF($A20="","",$Z20-$V20-$AH20-$AI20)</f>
        <v/>
      </c>
      <c r="AK20" s="72">
        <f>IF($A20="","",IFERROR($AJ20/$AB20,0))</f>
        <v/>
      </c>
      <c r="AL20" s="38">
        <f>IF($A20="","",IF(OR($C20="Passed",$C20="Expired",$C20="Canceled"),$C20,IF($C20="Completed","Completed",IF(AND($O20&lt;='Settings'!$B$8,$AA20&gt;='Settings'!$B$10,$AJ20&gt;='Settings'!$B$9),IF($C20="Booked","Booked - Meets Targets","Meets Targets"),IF($C20="Booked","Booked - Below Target","Review")))))</f>
        <v/>
      </c>
      <c r="AM20" s="38">
        <f>IF($A20="","",IF(COUNTIF($A$6:$A$205,$A20)&gt;1,"Duplicate Load ID",IF(COUNTIF('Planner'!$A$6:$A$205,$B20)=0,"Trip ID not found",IF(($G20+$H20)&gt;($K20+$L20),"Check schedule",IF(MIN($N20,$O20,$P20,$Q20,$R20,$S20,$T20,$U20,$V20)&lt;0,"Negative value","OK")))))</f>
        <v/>
      </c>
    </row>
    <row r="21">
      <c r="A21" s="34" t="n"/>
      <c r="B21" s="34" t="n"/>
      <c r="C21" s="34" t="n"/>
      <c r="D21" s="34" t="n"/>
      <c r="E21" s="34" t="n"/>
      <c r="F21" s="34" t="n"/>
      <c r="G21" s="69" t="n"/>
      <c r="H21" s="36" t="n"/>
      <c r="I21" s="34" t="n"/>
      <c r="J21" s="34" t="n"/>
      <c r="K21" s="69" t="n"/>
      <c r="L21" s="36" t="n"/>
      <c r="M21" s="34" t="n"/>
      <c r="N21" s="75" t="n"/>
      <c r="O21" s="37" t="n"/>
      <c r="P21" s="37" t="n"/>
      <c r="Q21" s="37" t="n"/>
      <c r="R21" s="76" t="n"/>
      <c r="S21" s="77" t="n"/>
      <c r="T21" s="77" t="n"/>
      <c r="U21" s="77" t="n"/>
      <c r="V21" s="77" t="n"/>
      <c r="W21" s="34" t="n"/>
      <c r="X21" s="78" t="n"/>
      <c r="Y21" s="46" t="n"/>
      <c r="Z21" s="71">
        <f>IF($A21="","",SUM($S21:$U21))</f>
        <v/>
      </c>
      <c r="AA21" s="72">
        <f>IF($A21="","",IFERROR($Z21/$P21,0))</f>
        <v/>
      </c>
      <c r="AB21" s="41">
        <f>IF($A21="","",SUM($O21:$Q21))</f>
        <v/>
      </c>
      <c r="AC21" s="41">
        <f>IF($A21="","",IFERROR(INDEX('Planner'!$N$6:$N$205,MATCH($B21,'Planner'!$A$6:$A$205,0)),0))</f>
        <v/>
      </c>
      <c r="AD21" s="41">
        <f>IF($A21="","",$AC21-$O21-$Q21)</f>
        <v/>
      </c>
      <c r="AE21" s="41">
        <f>IF($A21="","",$AB21-$AC21)</f>
        <v/>
      </c>
      <c r="AF21" s="73">
        <f>IF($A21="","",IFERROR($AB21/'Settings'!$B$5,0))</f>
        <v/>
      </c>
      <c r="AG21" s="71">
        <f>IF($A21="","",$AF21*'Settings'!$B$4)</f>
        <v/>
      </c>
      <c r="AH21" s="71">
        <f>IF($A21="","",$AE21*'Settings'!$B$17)</f>
        <v/>
      </c>
      <c r="AI21" s="71">
        <f>IF($A21="","",$R21*'Settings'!$B$7)</f>
        <v/>
      </c>
      <c r="AJ21" s="71">
        <f>IF($A21="","",$Z21-$V21-$AH21-$AI21)</f>
        <v/>
      </c>
      <c r="AK21" s="72">
        <f>IF($A21="","",IFERROR($AJ21/$AB21,0))</f>
        <v/>
      </c>
      <c r="AL21" s="38">
        <f>IF($A21="","",IF(OR($C21="Passed",$C21="Expired",$C21="Canceled"),$C21,IF($C21="Completed","Completed",IF(AND($O21&lt;='Settings'!$B$8,$AA21&gt;='Settings'!$B$10,$AJ21&gt;='Settings'!$B$9),IF($C21="Booked","Booked - Meets Targets","Meets Targets"),IF($C21="Booked","Booked - Below Target","Review")))))</f>
        <v/>
      </c>
      <c r="AM21" s="38">
        <f>IF($A21="","",IF(COUNTIF($A$6:$A$205,$A21)&gt;1,"Duplicate Load ID",IF(COUNTIF('Planner'!$A$6:$A$205,$B21)=0,"Trip ID not found",IF(($G21+$H21)&gt;($K21+$L21),"Check schedule",IF(MIN($N21,$O21,$P21,$Q21,$R21,$S21,$T21,$U21,$V21)&lt;0,"Negative value","OK")))))</f>
        <v/>
      </c>
    </row>
    <row r="22">
      <c r="A22" s="34" t="n"/>
      <c r="B22" s="34" t="n"/>
      <c r="C22" s="34" t="n"/>
      <c r="D22" s="34" t="n"/>
      <c r="E22" s="34" t="n"/>
      <c r="F22" s="34" t="n"/>
      <c r="G22" s="69" t="n"/>
      <c r="H22" s="36" t="n"/>
      <c r="I22" s="34" t="n"/>
      <c r="J22" s="34" t="n"/>
      <c r="K22" s="69" t="n"/>
      <c r="L22" s="36" t="n"/>
      <c r="M22" s="34" t="n"/>
      <c r="N22" s="75" t="n"/>
      <c r="O22" s="37" t="n"/>
      <c r="P22" s="37" t="n"/>
      <c r="Q22" s="37" t="n"/>
      <c r="R22" s="76" t="n"/>
      <c r="S22" s="77" t="n"/>
      <c r="T22" s="77" t="n"/>
      <c r="U22" s="77" t="n"/>
      <c r="V22" s="77" t="n"/>
      <c r="W22" s="34" t="n"/>
      <c r="X22" s="78" t="n"/>
      <c r="Y22" s="46" t="n"/>
      <c r="Z22" s="71">
        <f>IF($A22="","",SUM($S22:$U22))</f>
        <v/>
      </c>
      <c r="AA22" s="72">
        <f>IF($A22="","",IFERROR($Z22/$P22,0))</f>
        <v/>
      </c>
      <c r="AB22" s="41">
        <f>IF($A22="","",SUM($O22:$Q22))</f>
        <v/>
      </c>
      <c r="AC22" s="41">
        <f>IF($A22="","",IFERROR(INDEX('Planner'!$N$6:$N$205,MATCH($B22,'Planner'!$A$6:$A$205,0)),0))</f>
        <v/>
      </c>
      <c r="AD22" s="41">
        <f>IF($A22="","",$AC22-$O22-$Q22)</f>
        <v/>
      </c>
      <c r="AE22" s="41">
        <f>IF($A22="","",$AB22-$AC22)</f>
        <v/>
      </c>
      <c r="AF22" s="73">
        <f>IF($A22="","",IFERROR($AB22/'Settings'!$B$5,0))</f>
        <v/>
      </c>
      <c r="AG22" s="71">
        <f>IF($A22="","",$AF22*'Settings'!$B$4)</f>
        <v/>
      </c>
      <c r="AH22" s="71">
        <f>IF($A22="","",$AE22*'Settings'!$B$17)</f>
        <v/>
      </c>
      <c r="AI22" s="71">
        <f>IF($A22="","",$R22*'Settings'!$B$7)</f>
        <v/>
      </c>
      <c r="AJ22" s="71">
        <f>IF($A22="","",$Z22-$V22-$AH22-$AI22)</f>
        <v/>
      </c>
      <c r="AK22" s="72">
        <f>IF($A22="","",IFERROR($AJ22/$AB22,0))</f>
        <v/>
      </c>
      <c r="AL22" s="38">
        <f>IF($A22="","",IF(OR($C22="Passed",$C22="Expired",$C22="Canceled"),$C22,IF($C22="Completed","Completed",IF(AND($O22&lt;='Settings'!$B$8,$AA22&gt;='Settings'!$B$10,$AJ22&gt;='Settings'!$B$9),IF($C22="Booked","Booked - Meets Targets","Meets Targets"),IF($C22="Booked","Booked - Below Target","Review")))))</f>
        <v/>
      </c>
      <c r="AM22" s="38">
        <f>IF($A22="","",IF(COUNTIF($A$6:$A$205,$A22)&gt;1,"Duplicate Load ID",IF(COUNTIF('Planner'!$A$6:$A$205,$B22)=0,"Trip ID not found",IF(($G22+$H22)&gt;($K22+$L22),"Check schedule",IF(MIN($N22,$O22,$P22,$Q22,$R22,$S22,$T22,$U22,$V22)&lt;0,"Negative value","OK")))))</f>
        <v/>
      </c>
    </row>
    <row r="23">
      <c r="A23" s="34" t="n"/>
      <c r="B23" s="34" t="n"/>
      <c r="C23" s="34" t="n"/>
      <c r="D23" s="34" t="n"/>
      <c r="E23" s="34" t="n"/>
      <c r="F23" s="34" t="n"/>
      <c r="G23" s="69" t="n"/>
      <c r="H23" s="36" t="n"/>
      <c r="I23" s="34" t="n"/>
      <c r="J23" s="34" t="n"/>
      <c r="K23" s="69" t="n"/>
      <c r="L23" s="36" t="n"/>
      <c r="M23" s="34" t="n"/>
      <c r="N23" s="75" t="n"/>
      <c r="O23" s="37" t="n"/>
      <c r="P23" s="37" t="n"/>
      <c r="Q23" s="37" t="n"/>
      <c r="R23" s="76" t="n"/>
      <c r="S23" s="77" t="n"/>
      <c r="T23" s="77" t="n"/>
      <c r="U23" s="77" t="n"/>
      <c r="V23" s="77" t="n"/>
      <c r="W23" s="34" t="n"/>
      <c r="X23" s="78" t="n"/>
      <c r="Y23" s="46" t="n"/>
      <c r="Z23" s="71">
        <f>IF($A23="","",SUM($S23:$U23))</f>
        <v/>
      </c>
      <c r="AA23" s="72">
        <f>IF($A23="","",IFERROR($Z23/$P23,0))</f>
        <v/>
      </c>
      <c r="AB23" s="41">
        <f>IF($A23="","",SUM($O23:$Q23))</f>
        <v/>
      </c>
      <c r="AC23" s="41">
        <f>IF($A23="","",IFERROR(INDEX('Planner'!$N$6:$N$205,MATCH($B23,'Planner'!$A$6:$A$205,0)),0))</f>
        <v/>
      </c>
      <c r="AD23" s="41">
        <f>IF($A23="","",$AC23-$O23-$Q23)</f>
        <v/>
      </c>
      <c r="AE23" s="41">
        <f>IF($A23="","",$AB23-$AC23)</f>
        <v/>
      </c>
      <c r="AF23" s="73">
        <f>IF($A23="","",IFERROR($AB23/'Settings'!$B$5,0))</f>
        <v/>
      </c>
      <c r="AG23" s="71">
        <f>IF($A23="","",$AF23*'Settings'!$B$4)</f>
        <v/>
      </c>
      <c r="AH23" s="71">
        <f>IF($A23="","",$AE23*'Settings'!$B$17)</f>
        <v/>
      </c>
      <c r="AI23" s="71">
        <f>IF($A23="","",$R23*'Settings'!$B$7)</f>
        <v/>
      </c>
      <c r="AJ23" s="71">
        <f>IF($A23="","",$Z23-$V23-$AH23-$AI23)</f>
        <v/>
      </c>
      <c r="AK23" s="72">
        <f>IF($A23="","",IFERROR($AJ23/$AB23,0))</f>
        <v/>
      </c>
      <c r="AL23" s="38">
        <f>IF($A23="","",IF(OR($C23="Passed",$C23="Expired",$C23="Canceled"),$C23,IF($C23="Completed","Completed",IF(AND($O23&lt;='Settings'!$B$8,$AA23&gt;='Settings'!$B$10,$AJ23&gt;='Settings'!$B$9),IF($C23="Booked","Booked - Meets Targets","Meets Targets"),IF($C23="Booked","Booked - Below Target","Review")))))</f>
        <v/>
      </c>
      <c r="AM23" s="38">
        <f>IF($A23="","",IF(COUNTIF($A$6:$A$205,$A23)&gt;1,"Duplicate Load ID",IF(COUNTIF('Planner'!$A$6:$A$205,$B23)=0,"Trip ID not found",IF(($G23+$H23)&gt;($K23+$L23),"Check schedule",IF(MIN($N23,$O23,$P23,$Q23,$R23,$S23,$T23,$U23,$V23)&lt;0,"Negative value","OK")))))</f>
        <v/>
      </c>
    </row>
    <row r="24">
      <c r="A24" s="34" t="n"/>
      <c r="B24" s="34" t="n"/>
      <c r="C24" s="34" t="n"/>
      <c r="D24" s="34" t="n"/>
      <c r="E24" s="34" t="n"/>
      <c r="F24" s="34" t="n"/>
      <c r="G24" s="69" t="n"/>
      <c r="H24" s="36" t="n"/>
      <c r="I24" s="34" t="n"/>
      <c r="J24" s="34" t="n"/>
      <c r="K24" s="69" t="n"/>
      <c r="L24" s="36" t="n"/>
      <c r="M24" s="34" t="n"/>
      <c r="N24" s="75" t="n"/>
      <c r="O24" s="37" t="n"/>
      <c r="P24" s="37" t="n"/>
      <c r="Q24" s="37" t="n"/>
      <c r="R24" s="76" t="n"/>
      <c r="S24" s="77" t="n"/>
      <c r="T24" s="77" t="n"/>
      <c r="U24" s="77" t="n"/>
      <c r="V24" s="77" t="n"/>
      <c r="W24" s="34" t="n"/>
      <c r="X24" s="78" t="n"/>
      <c r="Y24" s="46" t="n"/>
      <c r="Z24" s="71">
        <f>IF($A24="","",SUM($S24:$U24))</f>
        <v/>
      </c>
      <c r="AA24" s="72">
        <f>IF($A24="","",IFERROR($Z24/$P24,0))</f>
        <v/>
      </c>
      <c r="AB24" s="41">
        <f>IF($A24="","",SUM($O24:$Q24))</f>
        <v/>
      </c>
      <c r="AC24" s="41">
        <f>IF($A24="","",IFERROR(INDEX('Planner'!$N$6:$N$205,MATCH($B24,'Planner'!$A$6:$A$205,0)),0))</f>
        <v/>
      </c>
      <c r="AD24" s="41">
        <f>IF($A24="","",$AC24-$O24-$Q24)</f>
        <v/>
      </c>
      <c r="AE24" s="41">
        <f>IF($A24="","",$AB24-$AC24)</f>
        <v/>
      </c>
      <c r="AF24" s="73">
        <f>IF($A24="","",IFERROR($AB24/'Settings'!$B$5,0))</f>
        <v/>
      </c>
      <c r="AG24" s="71">
        <f>IF($A24="","",$AF24*'Settings'!$B$4)</f>
        <v/>
      </c>
      <c r="AH24" s="71">
        <f>IF($A24="","",$AE24*'Settings'!$B$17)</f>
        <v/>
      </c>
      <c r="AI24" s="71">
        <f>IF($A24="","",$R24*'Settings'!$B$7)</f>
        <v/>
      </c>
      <c r="AJ24" s="71">
        <f>IF($A24="","",$Z24-$V24-$AH24-$AI24)</f>
        <v/>
      </c>
      <c r="AK24" s="72">
        <f>IF($A24="","",IFERROR($AJ24/$AB24,0))</f>
        <v/>
      </c>
      <c r="AL24" s="38">
        <f>IF($A24="","",IF(OR($C24="Passed",$C24="Expired",$C24="Canceled"),$C24,IF($C24="Completed","Completed",IF(AND($O24&lt;='Settings'!$B$8,$AA24&gt;='Settings'!$B$10,$AJ24&gt;='Settings'!$B$9),IF($C24="Booked","Booked - Meets Targets","Meets Targets"),IF($C24="Booked","Booked - Below Target","Review")))))</f>
        <v/>
      </c>
      <c r="AM24" s="38">
        <f>IF($A24="","",IF(COUNTIF($A$6:$A$205,$A24)&gt;1,"Duplicate Load ID",IF(COUNTIF('Planner'!$A$6:$A$205,$B24)=0,"Trip ID not found",IF(($G24+$H24)&gt;($K24+$L24),"Check schedule",IF(MIN($N24,$O24,$P24,$Q24,$R24,$S24,$T24,$U24,$V24)&lt;0,"Negative value","OK")))))</f>
        <v/>
      </c>
    </row>
    <row r="25">
      <c r="A25" s="34" t="n"/>
      <c r="B25" s="34" t="n"/>
      <c r="C25" s="34" t="n"/>
      <c r="D25" s="34" t="n"/>
      <c r="E25" s="34" t="n"/>
      <c r="F25" s="34" t="n"/>
      <c r="G25" s="69" t="n"/>
      <c r="H25" s="36" t="n"/>
      <c r="I25" s="34" t="n"/>
      <c r="J25" s="34" t="n"/>
      <c r="K25" s="69" t="n"/>
      <c r="L25" s="36" t="n"/>
      <c r="M25" s="34" t="n"/>
      <c r="N25" s="75" t="n"/>
      <c r="O25" s="37" t="n"/>
      <c r="P25" s="37" t="n"/>
      <c r="Q25" s="37" t="n"/>
      <c r="R25" s="76" t="n"/>
      <c r="S25" s="77" t="n"/>
      <c r="T25" s="77" t="n"/>
      <c r="U25" s="77" t="n"/>
      <c r="V25" s="77" t="n"/>
      <c r="W25" s="34" t="n"/>
      <c r="X25" s="78" t="n"/>
      <c r="Y25" s="46" t="n"/>
      <c r="Z25" s="71">
        <f>IF($A25="","",SUM($S25:$U25))</f>
        <v/>
      </c>
      <c r="AA25" s="72">
        <f>IF($A25="","",IFERROR($Z25/$P25,0))</f>
        <v/>
      </c>
      <c r="AB25" s="41">
        <f>IF($A25="","",SUM($O25:$Q25))</f>
        <v/>
      </c>
      <c r="AC25" s="41">
        <f>IF($A25="","",IFERROR(INDEX('Planner'!$N$6:$N$205,MATCH($B25,'Planner'!$A$6:$A$205,0)),0))</f>
        <v/>
      </c>
      <c r="AD25" s="41">
        <f>IF($A25="","",$AC25-$O25-$Q25)</f>
        <v/>
      </c>
      <c r="AE25" s="41">
        <f>IF($A25="","",$AB25-$AC25)</f>
        <v/>
      </c>
      <c r="AF25" s="73">
        <f>IF($A25="","",IFERROR($AB25/'Settings'!$B$5,0))</f>
        <v/>
      </c>
      <c r="AG25" s="71">
        <f>IF($A25="","",$AF25*'Settings'!$B$4)</f>
        <v/>
      </c>
      <c r="AH25" s="71">
        <f>IF($A25="","",$AE25*'Settings'!$B$17)</f>
        <v/>
      </c>
      <c r="AI25" s="71">
        <f>IF($A25="","",$R25*'Settings'!$B$7)</f>
        <v/>
      </c>
      <c r="AJ25" s="71">
        <f>IF($A25="","",$Z25-$V25-$AH25-$AI25)</f>
        <v/>
      </c>
      <c r="AK25" s="72">
        <f>IF($A25="","",IFERROR($AJ25/$AB25,0))</f>
        <v/>
      </c>
      <c r="AL25" s="38">
        <f>IF($A25="","",IF(OR($C25="Passed",$C25="Expired",$C25="Canceled"),$C25,IF($C25="Completed","Completed",IF(AND($O25&lt;='Settings'!$B$8,$AA25&gt;='Settings'!$B$10,$AJ25&gt;='Settings'!$B$9),IF($C25="Booked","Booked - Meets Targets","Meets Targets"),IF($C25="Booked","Booked - Below Target","Review")))))</f>
        <v/>
      </c>
      <c r="AM25" s="38">
        <f>IF($A25="","",IF(COUNTIF($A$6:$A$205,$A25)&gt;1,"Duplicate Load ID",IF(COUNTIF('Planner'!$A$6:$A$205,$B25)=0,"Trip ID not found",IF(($G25+$H25)&gt;($K25+$L25),"Check schedule",IF(MIN($N25,$O25,$P25,$Q25,$R25,$S25,$T25,$U25,$V25)&lt;0,"Negative value","OK")))))</f>
        <v/>
      </c>
    </row>
    <row r="26">
      <c r="A26" s="34" t="n"/>
      <c r="B26" s="34" t="n"/>
      <c r="C26" s="34" t="n"/>
      <c r="D26" s="34" t="n"/>
      <c r="E26" s="34" t="n"/>
      <c r="F26" s="34" t="n"/>
      <c r="G26" s="69" t="n"/>
      <c r="H26" s="36" t="n"/>
      <c r="I26" s="34" t="n"/>
      <c r="J26" s="34" t="n"/>
      <c r="K26" s="69" t="n"/>
      <c r="L26" s="36" t="n"/>
      <c r="M26" s="34" t="n"/>
      <c r="N26" s="75" t="n"/>
      <c r="O26" s="37" t="n"/>
      <c r="P26" s="37" t="n"/>
      <c r="Q26" s="37" t="n"/>
      <c r="R26" s="76" t="n"/>
      <c r="S26" s="77" t="n"/>
      <c r="T26" s="77" t="n"/>
      <c r="U26" s="77" t="n"/>
      <c r="V26" s="77" t="n"/>
      <c r="W26" s="34" t="n"/>
      <c r="X26" s="78" t="n"/>
      <c r="Y26" s="46" t="n"/>
      <c r="Z26" s="71">
        <f>IF($A26="","",SUM($S26:$U26))</f>
        <v/>
      </c>
      <c r="AA26" s="72">
        <f>IF($A26="","",IFERROR($Z26/$P26,0))</f>
        <v/>
      </c>
      <c r="AB26" s="41">
        <f>IF($A26="","",SUM($O26:$Q26))</f>
        <v/>
      </c>
      <c r="AC26" s="41">
        <f>IF($A26="","",IFERROR(INDEX('Planner'!$N$6:$N$205,MATCH($B26,'Planner'!$A$6:$A$205,0)),0))</f>
        <v/>
      </c>
      <c r="AD26" s="41">
        <f>IF($A26="","",$AC26-$O26-$Q26)</f>
        <v/>
      </c>
      <c r="AE26" s="41">
        <f>IF($A26="","",$AB26-$AC26)</f>
        <v/>
      </c>
      <c r="AF26" s="73">
        <f>IF($A26="","",IFERROR($AB26/'Settings'!$B$5,0))</f>
        <v/>
      </c>
      <c r="AG26" s="71">
        <f>IF($A26="","",$AF26*'Settings'!$B$4)</f>
        <v/>
      </c>
      <c r="AH26" s="71">
        <f>IF($A26="","",$AE26*'Settings'!$B$17)</f>
        <v/>
      </c>
      <c r="AI26" s="71">
        <f>IF($A26="","",$R26*'Settings'!$B$7)</f>
        <v/>
      </c>
      <c r="AJ26" s="71">
        <f>IF($A26="","",$Z26-$V26-$AH26-$AI26)</f>
        <v/>
      </c>
      <c r="AK26" s="72">
        <f>IF($A26="","",IFERROR($AJ26/$AB26,0))</f>
        <v/>
      </c>
      <c r="AL26" s="38">
        <f>IF($A26="","",IF(OR($C26="Passed",$C26="Expired",$C26="Canceled"),$C26,IF($C26="Completed","Completed",IF(AND($O26&lt;='Settings'!$B$8,$AA26&gt;='Settings'!$B$10,$AJ26&gt;='Settings'!$B$9),IF($C26="Booked","Booked - Meets Targets","Meets Targets"),IF($C26="Booked","Booked - Below Target","Review")))))</f>
        <v/>
      </c>
      <c r="AM26" s="38">
        <f>IF($A26="","",IF(COUNTIF($A$6:$A$205,$A26)&gt;1,"Duplicate Load ID",IF(COUNTIF('Planner'!$A$6:$A$205,$B26)=0,"Trip ID not found",IF(($G26+$H26)&gt;($K26+$L26),"Check schedule",IF(MIN($N26,$O26,$P26,$Q26,$R26,$S26,$T26,$U26,$V26)&lt;0,"Negative value","OK")))))</f>
        <v/>
      </c>
    </row>
    <row r="27">
      <c r="A27" s="34" t="n"/>
      <c r="B27" s="34" t="n"/>
      <c r="C27" s="34" t="n"/>
      <c r="D27" s="34" t="n"/>
      <c r="E27" s="34" t="n"/>
      <c r="F27" s="34" t="n"/>
      <c r="G27" s="69" t="n"/>
      <c r="H27" s="36" t="n"/>
      <c r="I27" s="34" t="n"/>
      <c r="J27" s="34" t="n"/>
      <c r="K27" s="69" t="n"/>
      <c r="L27" s="36" t="n"/>
      <c r="M27" s="34" t="n"/>
      <c r="N27" s="75" t="n"/>
      <c r="O27" s="37" t="n"/>
      <c r="P27" s="37" t="n"/>
      <c r="Q27" s="37" t="n"/>
      <c r="R27" s="76" t="n"/>
      <c r="S27" s="77" t="n"/>
      <c r="T27" s="77" t="n"/>
      <c r="U27" s="77" t="n"/>
      <c r="V27" s="77" t="n"/>
      <c r="W27" s="34" t="n"/>
      <c r="X27" s="78" t="n"/>
      <c r="Y27" s="46" t="n"/>
      <c r="Z27" s="71">
        <f>IF($A27="","",SUM($S27:$U27))</f>
        <v/>
      </c>
      <c r="AA27" s="72">
        <f>IF($A27="","",IFERROR($Z27/$P27,0))</f>
        <v/>
      </c>
      <c r="AB27" s="41">
        <f>IF($A27="","",SUM($O27:$Q27))</f>
        <v/>
      </c>
      <c r="AC27" s="41">
        <f>IF($A27="","",IFERROR(INDEX('Planner'!$N$6:$N$205,MATCH($B27,'Planner'!$A$6:$A$205,0)),0))</f>
        <v/>
      </c>
      <c r="AD27" s="41">
        <f>IF($A27="","",$AC27-$O27-$Q27)</f>
        <v/>
      </c>
      <c r="AE27" s="41">
        <f>IF($A27="","",$AB27-$AC27)</f>
        <v/>
      </c>
      <c r="AF27" s="73">
        <f>IF($A27="","",IFERROR($AB27/'Settings'!$B$5,0))</f>
        <v/>
      </c>
      <c r="AG27" s="71">
        <f>IF($A27="","",$AF27*'Settings'!$B$4)</f>
        <v/>
      </c>
      <c r="AH27" s="71">
        <f>IF($A27="","",$AE27*'Settings'!$B$17)</f>
        <v/>
      </c>
      <c r="AI27" s="71">
        <f>IF($A27="","",$R27*'Settings'!$B$7)</f>
        <v/>
      </c>
      <c r="AJ27" s="71">
        <f>IF($A27="","",$Z27-$V27-$AH27-$AI27)</f>
        <v/>
      </c>
      <c r="AK27" s="72">
        <f>IF($A27="","",IFERROR($AJ27/$AB27,0))</f>
        <v/>
      </c>
      <c r="AL27" s="38">
        <f>IF($A27="","",IF(OR($C27="Passed",$C27="Expired",$C27="Canceled"),$C27,IF($C27="Completed","Completed",IF(AND($O27&lt;='Settings'!$B$8,$AA27&gt;='Settings'!$B$10,$AJ27&gt;='Settings'!$B$9),IF($C27="Booked","Booked - Meets Targets","Meets Targets"),IF($C27="Booked","Booked - Below Target","Review")))))</f>
        <v/>
      </c>
      <c r="AM27" s="38">
        <f>IF($A27="","",IF(COUNTIF($A$6:$A$205,$A27)&gt;1,"Duplicate Load ID",IF(COUNTIF('Planner'!$A$6:$A$205,$B27)=0,"Trip ID not found",IF(($G27+$H27)&gt;($K27+$L27),"Check schedule",IF(MIN($N27,$O27,$P27,$Q27,$R27,$S27,$T27,$U27,$V27)&lt;0,"Negative value","OK")))))</f>
        <v/>
      </c>
    </row>
    <row r="28">
      <c r="A28" s="34" t="n"/>
      <c r="B28" s="34" t="n"/>
      <c r="C28" s="34" t="n"/>
      <c r="D28" s="34" t="n"/>
      <c r="E28" s="34" t="n"/>
      <c r="F28" s="34" t="n"/>
      <c r="G28" s="69" t="n"/>
      <c r="H28" s="36" t="n"/>
      <c r="I28" s="34" t="n"/>
      <c r="J28" s="34" t="n"/>
      <c r="K28" s="69" t="n"/>
      <c r="L28" s="36" t="n"/>
      <c r="M28" s="34" t="n"/>
      <c r="N28" s="75" t="n"/>
      <c r="O28" s="37" t="n"/>
      <c r="P28" s="37" t="n"/>
      <c r="Q28" s="37" t="n"/>
      <c r="R28" s="76" t="n"/>
      <c r="S28" s="77" t="n"/>
      <c r="T28" s="77" t="n"/>
      <c r="U28" s="77" t="n"/>
      <c r="V28" s="77" t="n"/>
      <c r="W28" s="34" t="n"/>
      <c r="X28" s="78" t="n"/>
      <c r="Y28" s="46" t="n"/>
      <c r="Z28" s="71">
        <f>IF($A28="","",SUM($S28:$U28))</f>
        <v/>
      </c>
      <c r="AA28" s="72">
        <f>IF($A28="","",IFERROR($Z28/$P28,0))</f>
        <v/>
      </c>
      <c r="AB28" s="41">
        <f>IF($A28="","",SUM($O28:$Q28))</f>
        <v/>
      </c>
      <c r="AC28" s="41">
        <f>IF($A28="","",IFERROR(INDEX('Planner'!$N$6:$N$205,MATCH($B28,'Planner'!$A$6:$A$205,0)),0))</f>
        <v/>
      </c>
      <c r="AD28" s="41">
        <f>IF($A28="","",$AC28-$O28-$Q28)</f>
        <v/>
      </c>
      <c r="AE28" s="41">
        <f>IF($A28="","",$AB28-$AC28)</f>
        <v/>
      </c>
      <c r="AF28" s="73">
        <f>IF($A28="","",IFERROR($AB28/'Settings'!$B$5,0))</f>
        <v/>
      </c>
      <c r="AG28" s="71">
        <f>IF($A28="","",$AF28*'Settings'!$B$4)</f>
        <v/>
      </c>
      <c r="AH28" s="71">
        <f>IF($A28="","",$AE28*'Settings'!$B$17)</f>
        <v/>
      </c>
      <c r="AI28" s="71">
        <f>IF($A28="","",$R28*'Settings'!$B$7)</f>
        <v/>
      </c>
      <c r="AJ28" s="71">
        <f>IF($A28="","",$Z28-$V28-$AH28-$AI28)</f>
        <v/>
      </c>
      <c r="AK28" s="72">
        <f>IF($A28="","",IFERROR($AJ28/$AB28,0))</f>
        <v/>
      </c>
      <c r="AL28" s="38">
        <f>IF($A28="","",IF(OR($C28="Passed",$C28="Expired",$C28="Canceled"),$C28,IF($C28="Completed","Completed",IF(AND($O28&lt;='Settings'!$B$8,$AA28&gt;='Settings'!$B$10,$AJ28&gt;='Settings'!$B$9),IF($C28="Booked","Booked - Meets Targets","Meets Targets"),IF($C28="Booked","Booked - Below Target","Review")))))</f>
        <v/>
      </c>
      <c r="AM28" s="38">
        <f>IF($A28="","",IF(COUNTIF($A$6:$A$205,$A28)&gt;1,"Duplicate Load ID",IF(COUNTIF('Planner'!$A$6:$A$205,$B28)=0,"Trip ID not found",IF(($G28+$H28)&gt;($K28+$L28),"Check schedule",IF(MIN($N28,$O28,$P28,$Q28,$R28,$S28,$T28,$U28,$V28)&lt;0,"Negative value","OK")))))</f>
        <v/>
      </c>
    </row>
    <row r="29">
      <c r="A29" s="34" t="n"/>
      <c r="B29" s="34" t="n"/>
      <c r="C29" s="34" t="n"/>
      <c r="D29" s="34" t="n"/>
      <c r="E29" s="34" t="n"/>
      <c r="F29" s="34" t="n"/>
      <c r="G29" s="69" t="n"/>
      <c r="H29" s="36" t="n"/>
      <c r="I29" s="34" t="n"/>
      <c r="J29" s="34" t="n"/>
      <c r="K29" s="69" t="n"/>
      <c r="L29" s="36" t="n"/>
      <c r="M29" s="34" t="n"/>
      <c r="N29" s="75" t="n"/>
      <c r="O29" s="37" t="n"/>
      <c r="P29" s="37" t="n"/>
      <c r="Q29" s="37" t="n"/>
      <c r="R29" s="76" t="n"/>
      <c r="S29" s="77" t="n"/>
      <c r="T29" s="77" t="n"/>
      <c r="U29" s="77" t="n"/>
      <c r="V29" s="77" t="n"/>
      <c r="W29" s="34" t="n"/>
      <c r="X29" s="78" t="n"/>
      <c r="Y29" s="46" t="n"/>
      <c r="Z29" s="71">
        <f>IF($A29="","",SUM($S29:$U29))</f>
        <v/>
      </c>
      <c r="AA29" s="72">
        <f>IF($A29="","",IFERROR($Z29/$P29,0))</f>
        <v/>
      </c>
      <c r="AB29" s="41">
        <f>IF($A29="","",SUM($O29:$Q29))</f>
        <v/>
      </c>
      <c r="AC29" s="41">
        <f>IF($A29="","",IFERROR(INDEX('Planner'!$N$6:$N$205,MATCH($B29,'Planner'!$A$6:$A$205,0)),0))</f>
        <v/>
      </c>
      <c r="AD29" s="41">
        <f>IF($A29="","",$AC29-$O29-$Q29)</f>
        <v/>
      </c>
      <c r="AE29" s="41">
        <f>IF($A29="","",$AB29-$AC29)</f>
        <v/>
      </c>
      <c r="AF29" s="73">
        <f>IF($A29="","",IFERROR($AB29/'Settings'!$B$5,0))</f>
        <v/>
      </c>
      <c r="AG29" s="71">
        <f>IF($A29="","",$AF29*'Settings'!$B$4)</f>
        <v/>
      </c>
      <c r="AH29" s="71">
        <f>IF($A29="","",$AE29*'Settings'!$B$17)</f>
        <v/>
      </c>
      <c r="AI29" s="71">
        <f>IF($A29="","",$R29*'Settings'!$B$7)</f>
        <v/>
      </c>
      <c r="AJ29" s="71">
        <f>IF($A29="","",$Z29-$V29-$AH29-$AI29)</f>
        <v/>
      </c>
      <c r="AK29" s="72">
        <f>IF($A29="","",IFERROR($AJ29/$AB29,0))</f>
        <v/>
      </c>
      <c r="AL29" s="38">
        <f>IF($A29="","",IF(OR($C29="Passed",$C29="Expired",$C29="Canceled"),$C29,IF($C29="Completed","Completed",IF(AND($O29&lt;='Settings'!$B$8,$AA29&gt;='Settings'!$B$10,$AJ29&gt;='Settings'!$B$9),IF($C29="Booked","Booked - Meets Targets","Meets Targets"),IF($C29="Booked","Booked - Below Target","Review")))))</f>
        <v/>
      </c>
      <c r="AM29" s="38">
        <f>IF($A29="","",IF(COUNTIF($A$6:$A$205,$A29)&gt;1,"Duplicate Load ID",IF(COUNTIF('Planner'!$A$6:$A$205,$B29)=0,"Trip ID not found",IF(($G29+$H29)&gt;($K29+$L29),"Check schedule",IF(MIN($N29,$O29,$P29,$Q29,$R29,$S29,$T29,$U29,$V29)&lt;0,"Negative value","OK")))))</f>
        <v/>
      </c>
    </row>
    <row r="30">
      <c r="A30" s="34" t="n"/>
      <c r="B30" s="34" t="n"/>
      <c r="C30" s="34" t="n"/>
      <c r="D30" s="34" t="n"/>
      <c r="E30" s="34" t="n"/>
      <c r="F30" s="34" t="n"/>
      <c r="G30" s="69" t="n"/>
      <c r="H30" s="36" t="n"/>
      <c r="I30" s="34" t="n"/>
      <c r="J30" s="34" t="n"/>
      <c r="K30" s="69" t="n"/>
      <c r="L30" s="36" t="n"/>
      <c r="M30" s="34" t="n"/>
      <c r="N30" s="75" t="n"/>
      <c r="O30" s="37" t="n"/>
      <c r="P30" s="37" t="n"/>
      <c r="Q30" s="37" t="n"/>
      <c r="R30" s="76" t="n"/>
      <c r="S30" s="77" t="n"/>
      <c r="T30" s="77" t="n"/>
      <c r="U30" s="77" t="n"/>
      <c r="V30" s="77" t="n"/>
      <c r="W30" s="34" t="n"/>
      <c r="X30" s="78" t="n"/>
      <c r="Y30" s="46" t="n"/>
      <c r="Z30" s="71">
        <f>IF($A30="","",SUM($S30:$U30))</f>
        <v/>
      </c>
      <c r="AA30" s="72">
        <f>IF($A30="","",IFERROR($Z30/$P30,0))</f>
        <v/>
      </c>
      <c r="AB30" s="41">
        <f>IF($A30="","",SUM($O30:$Q30))</f>
        <v/>
      </c>
      <c r="AC30" s="41">
        <f>IF($A30="","",IFERROR(INDEX('Planner'!$N$6:$N$205,MATCH($B30,'Planner'!$A$6:$A$205,0)),0))</f>
        <v/>
      </c>
      <c r="AD30" s="41">
        <f>IF($A30="","",$AC30-$O30-$Q30)</f>
        <v/>
      </c>
      <c r="AE30" s="41">
        <f>IF($A30="","",$AB30-$AC30)</f>
        <v/>
      </c>
      <c r="AF30" s="73">
        <f>IF($A30="","",IFERROR($AB30/'Settings'!$B$5,0))</f>
        <v/>
      </c>
      <c r="AG30" s="71">
        <f>IF($A30="","",$AF30*'Settings'!$B$4)</f>
        <v/>
      </c>
      <c r="AH30" s="71">
        <f>IF($A30="","",$AE30*'Settings'!$B$17)</f>
        <v/>
      </c>
      <c r="AI30" s="71">
        <f>IF($A30="","",$R30*'Settings'!$B$7)</f>
        <v/>
      </c>
      <c r="AJ30" s="71">
        <f>IF($A30="","",$Z30-$V30-$AH30-$AI30)</f>
        <v/>
      </c>
      <c r="AK30" s="72">
        <f>IF($A30="","",IFERROR($AJ30/$AB30,0))</f>
        <v/>
      </c>
      <c r="AL30" s="38">
        <f>IF($A30="","",IF(OR($C30="Passed",$C30="Expired",$C30="Canceled"),$C30,IF($C30="Completed","Completed",IF(AND($O30&lt;='Settings'!$B$8,$AA30&gt;='Settings'!$B$10,$AJ30&gt;='Settings'!$B$9),IF($C30="Booked","Booked - Meets Targets","Meets Targets"),IF($C30="Booked","Booked - Below Target","Review")))))</f>
        <v/>
      </c>
      <c r="AM30" s="38">
        <f>IF($A30="","",IF(COUNTIF($A$6:$A$205,$A30)&gt;1,"Duplicate Load ID",IF(COUNTIF('Planner'!$A$6:$A$205,$B30)=0,"Trip ID not found",IF(($G30+$H30)&gt;($K30+$L30),"Check schedule",IF(MIN($N30,$O30,$P30,$Q30,$R30,$S30,$T30,$U30,$V30)&lt;0,"Negative value","OK")))))</f>
        <v/>
      </c>
    </row>
    <row r="31">
      <c r="A31" s="34" t="n"/>
      <c r="B31" s="34" t="n"/>
      <c r="C31" s="34" t="n"/>
      <c r="D31" s="34" t="n"/>
      <c r="E31" s="34" t="n"/>
      <c r="F31" s="34" t="n"/>
      <c r="G31" s="69" t="n"/>
      <c r="H31" s="36" t="n"/>
      <c r="I31" s="34" t="n"/>
      <c r="J31" s="34" t="n"/>
      <c r="K31" s="69" t="n"/>
      <c r="L31" s="36" t="n"/>
      <c r="M31" s="34" t="n"/>
      <c r="N31" s="75" t="n"/>
      <c r="O31" s="37" t="n"/>
      <c r="P31" s="37" t="n"/>
      <c r="Q31" s="37" t="n"/>
      <c r="R31" s="76" t="n"/>
      <c r="S31" s="77" t="n"/>
      <c r="T31" s="77" t="n"/>
      <c r="U31" s="77" t="n"/>
      <c r="V31" s="77" t="n"/>
      <c r="W31" s="34" t="n"/>
      <c r="X31" s="78" t="n"/>
      <c r="Y31" s="46" t="n"/>
      <c r="Z31" s="71">
        <f>IF($A31="","",SUM($S31:$U31))</f>
        <v/>
      </c>
      <c r="AA31" s="72">
        <f>IF($A31="","",IFERROR($Z31/$P31,0))</f>
        <v/>
      </c>
      <c r="AB31" s="41">
        <f>IF($A31="","",SUM($O31:$Q31))</f>
        <v/>
      </c>
      <c r="AC31" s="41">
        <f>IF($A31="","",IFERROR(INDEX('Planner'!$N$6:$N$205,MATCH($B31,'Planner'!$A$6:$A$205,0)),0))</f>
        <v/>
      </c>
      <c r="AD31" s="41">
        <f>IF($A31="","",$AC31-$O31-$Q31)</f>
        <v/>
      </c>
      <c r="AE31" s="41">
        <f>IF($A31="","",$AB31-$AC31)</f>
        <v/>
      </c>
      <c r="AF31" s="73">
        <f>IF($A31="","",IFERROR($AB31/'Settings'!$B$5,0))</f>
        <v/>
      </c>
      <c r="AG31" s="71">
        <f>IF($A31="","",$AF31*'Settings'!$B$4)</f>
        <v/>
      </c>
      <c r="AH31" s="71">
        <f>IF($A31="","",$AE31*'Settings'!$B$17)</f>
        <v/>
      </c>
      <c r="AI31" s="71">
        <f>IF($A31="","",$R31*'Settings'!$B$7)</f>
        <v/>
      </c>
      <c r="AJ31" s="71">
        <f>IF($A31="","",$Z31-$V31-$AH31-$AI31)</f>
        <v/>
      </c>
      <c r="AK31" s="72">
        <f>IF($A31="","",IFERROR($AJ31/$AB31,0))</f>
        <v/>
      </c>
      <c r="AL31" s="38">
        <f>IF($A31="","",IF(OR($C31="Passed",$C31="Expired",$C31="Canceled"),$C31,IF($C31="Completed","Completed",IF(AND($O31&lt;='Settings'!$B$8,$AA31&gt;='Settings'!$B$10,$AJ31&gt;='Settings'!$B$9),IF($C31="Booked","Booked - Meets Targets","Meets Targets"),IF($C31="Booked","Booked - Below Target","Review")))))</f>
        <v/>
      </c>
      <c r="AM31" s="38">
        <f>IF($A31="","",IF(COUNTIF($A$6:$A$205,$A31)&gt;1,"Duplicate Load ID",IF(COUNTIF('Planner'!$A$6:$A$205,$B31)=0,"Trip ID not found",IF(($G31+$H31)&gt;($K31+$L31),"Check schedule",IF(MIN($N31,$O31,$P31,$Q31,$R31,$S31,$T31,$U31,$V31)&lt;0,"Negative value","OK")))))</f>
        <v/>
      </c>
    </row>
    <row r="32">
      <c r="A32" s="34" t="n"/>
      <c r="B32" s="34" t="n"/>
      <c r="C32" s="34" t="n"/>
      <c r="D32" s="34" t="n"/>
      <c r="E32" s="34" t="n"/>
      <c r="F32" s="34" t="n"/>
      <c r="G32" s="69" t="n"/>
      <c r="H32" s="36" t="n"/>
      <c r="I32" s="34" t="n"/>
      <c r="J32" s="34" t="n"/>
      <c r="K32" s="69" t="n"/>
      <c r="L32" s="36" t="n"/>
      <c r="M32" s="34" t="n"/>
      <c r="N32" s="75" t="n"/>
      <c r="O32" s="37" t="n"/>
      <c r="P32" s="37" t="n"/>
      <c r="Q32" s="37" t="n"/>
      <c r="R32" s="76" t="n"/>
      <c r="S32" s="77" t="n"/>
      <c r="T32" s="77" t="n"/>
      <c r="U32" s="77" t="n"/>
      <c r="V32" s="77" t="n"/>
      <c r="W32" s="34" t="n"/>
      <c r="X32" s="78" t="n"/>
      <c r="Y32" s="46" t="n"/>
      <c r="Z32" s="71">
        <f>IF($A32="","",SUM($S32:$U32))</f>
        <v/>
      </c>
      <c r="AA32" s="72">
        <f>IF($A32="","",IFERROR($Z32/$P32,0))</f>
        <v/>
      </c>
      <c r="AB32" s="41">
        <f>IF($A32="","",SUM($O32:$Q32))</f>
        <v/>
      </c>
      <c r="AC32" s="41">
        <f>IF($A32="","",IFERROR(INDEX('Planner'!$N$6:$N$205,MATCH($B32,'Planner'!$A$6:$A$205,0)),0))</f>
        <v/>
      </c>
      <c r="AD32" s="41">
        <f>IF($A32="","",$AC32-$O32-$Q32)</f>
        <v/>
      </c>
      <c r="AE32" s="41">
        <f>IF($A32="","",$AB32-$AC32)</f>
        <v/>
      </c>
      <c r="AF32" s="73">
        <f>IF($A32="","",IFERROR($AB32/'Settings'!$B$5,0))</f>
        <v/>
      </c>
      <c r="AG32" s="71">
        <f>IF($A32="","",$AF32*'Settings'!$B$4)</f>
        <v/>
      </c>
      <c r="AH32" s="71">
        <f>IF($A32="","",$AE32*'Settings'!$B$17)</f>
        <v/>
      </c>
      <c r="AI32" s="71">
        <f>IF($A32="","",$R32*'Settings'!$B$7)</f>
        <v/>
      </c>
      <c r="AJ32" s="71">
        <f>IF($A32="","",$Z32-$V32-$AH32-$AI32)</f>
        <v/>
      </c>
      <c r="AK32" s="72">
        <f>IF($A32="","",IFERROR($AJ32/$AB32,0))</f>
        <v/>
      </c>
      <c r="AL32" s="38">
        <f>IF($A32="","",IF(OR($C32="Passed",$C32="Expired",$C32="Canceled"),$C32,IF($C32="Completed","Completed",IF(AND($O32&lt;='Settings'!$B$8,$AA32&gt;='Settings'!$B$10,$AJ32&gt;='Settings'!$B$9),IF($C32="Booked","Booked - Meets Targets","Meets Targets"),IF($C32="Booked","Booked - Below Target","Review")))))</f>
        <v/>
      </c>
      <c r="AM32" s="38">
        <f>IF($A32="","",IF(COUNTIF($A$6:$A$205,$A32)&gt;1,"Duplicate Load ID",IF(COUNTIF('Planner'!$A$6:$A$205,$B32)=0,"Trip ID not found",IF(($G32+$H32)&gt;($K32+$L32),"Check schedule",IF(MIN($N32,$O32,$P32,$Q32,$R32,$S32,$T32,$U32,$V32)&lt;0,"Negative value","OK")))))</f>
        <v/>
      </c>
    </row>
    <row r="33">
      <c r="A33" s="34" t="n"/>
      <c r="B33" s="34" t="n"/>
      <c r="C33" s="34" t="n"/>
      <c r="D33" s="34" t="n"/>
      <c r="E33" s="34" t="n"/>
      <c r="F33" s="34" t="n"/>
      <c r="G33" s="69" t="n"/>
      <c r="H33" s="36" t="n"/>
      <c r="I33" s="34" t="n"/>
      <c r="J33" s="34" t="n"/>
      <c r="K33" s="69" t="n"/>
      <c r="L33" s="36" t="n"/>
      <c r="M33" s="34" t="n"/>
      <c r="N33" s="75" t="n"/>
      <c r="O33" s="37" t="n"/>
      <c r="P33" s="37" t="n"/>
      <c r="Q33" s="37" t="n"/>
      <c r="R33" s="76" t="n"/>
      <c r="S33" s="77" t="n"/>
      <c r="T33" s="77" t="n"/>
      <c r="U33" s="77" t="n"/>
      <c r="V33" s="77" t="n"/>
      <c r="W33" s="34" t="n"/>
      <c r="X33" s="78" t="n"/>
      <c r="Y33" s="46" t="n"/>
      <c r="Z33" s="71">
        <f>IF($A33="","",SUM($S33:$U33))</f>
        <v/>
      </c>
      <c r="AA33" s="72">
        <f>IF($A33="","",IFERROR($Z33/$P33,0))</f>
        <v/>
      </c>
      <c r="AB33" s="41">
        <f>IF($A33="","",SUM($O33:$Q33))</f>
        <v/>
      </c>
      <c r="AC33" s="41">
        <f>IF($A33="","",IFERROR(INDEX('Planner'!$N$6:$N$205,MATCH($B33,'Planner'!$A$6:$A$205,0)),0))</f>
        <v/>
      </c>
      <c r="AD33" s="41">
        <f>IF($A33="","",$AC33-$O33-$Q33)</f>
        <v/>
      </c>
      <c r="AE33" s="41">
        <f>IF($A33="","",$AB33-$AC33)</f>
        <v/>
      </c>
      <c r="AF33" s="73">
        <f>IF($A33="","",IFERROR($AB33/'Settings'!$B$5,0))</f>
        <v/>
      </c>
      <c r="AG33" s="71">
        <f>IF($A33="","",$AF33*'Settings'!$B$4)</f>
        <v/>
      </c>
      <c r="AH33" s="71">
        <f>IF($A33="","",$AE33*'Settings'!$B$17)</f>
        <v/>
      </c>
      <c r="AI33" s="71">
        <f>IF($A33="","",$R33*'Settings'!$B$7)</f>
        <v/>
      </c>
      <c r="AJ33" s="71">
        <f>IF($A33="","",$Z33-$V33-$AH33-$AI33)</f>
        <v/>
      </c>
      <c r="AK33" s="72">
        <f>IF($A33="","",IFERROR($AJ33/$AB33,0))</f>
        <v/>
      </c>
      <c r="AL33" s="38">
        <f>IF($A33="","",IF(OR($C33="Passed",$C33="Expired",$C33="Canceled"),$C33,IF($C33="Completed","Completed",IF(AND($O33&lt;='Settings'!$B$8,$AA33&gt;='Settings'!$B$10,$AJ33&gt;='Settings'!$B$9),IF($C33="Booked","Booked - Meets Targets","Meets Targets"),IF($C33="Booked","Booked - Below Target","Review")))))</f>
        <v/>
      </c>
      <c r="AM33" s="38">
        <f>IF($A33="","",IF(COUNTIF($A$6:$A$205,$A33)&gt;1,"Duplicate Load ID",IF(COUNTIF('Planner'!$A$6:$A$205,$B33)=0,"Trip ID not found",IF(($G33+$H33)&gt;($K33+$L33),"Check schedule",IF(MIN($N33,$O33,$P33,$Q33,$R33,$S33,$T33,$U33,$V33)&lt;0,"Negative value","OK")))))</f>
        <v/>
      </c>
    </row>
    <row r="34">
      <c r="A34" s="34" t="n"/>
      <c r="B34" s="34" t="n"/>
      <c r="C34" s="34" t="n"/>
      <c r="D34" s="34" t="n"/>
      <c r="E34" s="34" t="n"/>
      <c r="F34" s="34" t="n"/>
      <c r="G34" s="69" t="n"/>
      <c r="H34" s="36" t="n"/>
      <c r="I34" s="34" t="n"/>
      <c r="J34" s="34" t="n"/>
      <c r="K34" s="69" t="n"/>
      <c r="L34" s="36" t="n"/>
      <c r="M34" s="34" t="n"/>
      <c r="N34" s="75" t="n"/>
      <c r="O34" s="37" t="n"/>
      <c r="P34" s="37" t="n"/>
      <c r="Q34" s="37" t="n"/>
      <c r="R34" s="76" t="n"/>
      <c r="S34" s="77" t="n"/>
      <c r="T34" s="77" t="n"/>
      <c r="U34" s="77" t="n"/>
      <c r="V34" s="77" t="n"/>
      <c r="W34" s="34" t="n"/>
      <c r="X34" s="78" t="n"/>
      <c r="Y34" s="46" t="n"/>
      <c r="Z34" s="71">
        <f>IF($A34="","",SUM($S34:$U34))</f>
        <v/>
      </c>
      <c r="AA34" s="72">
        <f>IF($A34="","",IFERROR($Z34/$P34,0))</f>
        <v/>
      </c>
      <c r="AB34" s="41">
        <f>IF($A34="","",SUM($O34:$Q34))</f>
        <v/>
      </c>
      <c r="AC34" s="41">
        <f>IF($A34="","",IFERROR(INDEX('Planner'!$N$6:$N$205,MATCH($B34,'Planner'!$A$6:$A$205,0)),0))</f>
        <v/>
      </c>
      <c r="AD34" s="41">
        <f>IF($A34="","",$AC34-$O34-$Q34)</f>
        <v/>
      </c>
      <c r="AE34" s="41">
        <f>IF($A34="","",$AB34-$AC34)</f>
        <v/>
      </c>
      <c r="AF34" s="73">
        <f>IF($A34="","",IFERROR($AB34/'Settings'!$B$5,0))</f>
        <v/>
      </c>
      <c r="AG34" s="71">
        <f>IF($A34="","",$AF34*'Settings'!$B$4)</f>
        <v/>
      </c>
      <c r="AH34" s="71">
        <f>IF($A34="","",$AE34*'Settings'!$B$17)</f>
        <v/>
      </c>
      <c r="AI34" s="71">
        <f>IF($A34="","",$R34*'Settings'!$B$7)</f>
        <v/>
      </c>
      <c r="AJ34" s="71">
        <f>IF($A34="","",$Z34-$V34-$AH34-$AI34)</f>
        <v/>
      </c>
      <c r="AK34" s="72">
        <f>IF($A34="","",IFERROR($AJ34/$AB34,0))</f>
        <v/>
      </c>
      <c r="AL34" s="38">
        <f>IF($A34="","",IF(OR($C34="Passed",$C34="Expired",$C34="Canceled"),$C34,IF($C34="Completed","Completed",IF(AND($O34&lt;='Settings'!$B$8,$AA34&gt;='Settings'!$B$10,$AJ34&gt;='Settings'!$B$9),IF($C34="Booked","Booked - Meets Targets","Meets Targets"),IF($C34="Booked","Booked - Below Target","Review")))))</f>
        <v/>
      </c>
      <c r="AM34" s="38">
        <f>IF($A34="","",IF(COUNTIF($A$6:$A$205,$A34)&gt;1,"Duplicate Load ID",IF(COUNTIF('Planner'!$A$6:$A$205,$B34)=0,"Trip ID not found",IF(($G34+$H34)&gt;($K34+$L34),"Check schedule",IF(MIN($N34,$O34,$P34,$Q34,$R34,$S34,$T34,$U34,$V34)&lt;0,"Negative value","OK")))))</f>
        <v/>
      </c>
    </row>
    <row r="35">
      <c r="A35" s="34" t="n"/>
      <c r="B35" s="34" t="n"/>
      <c r="C35" s="34" t="n"/>
      <c r="D35" s="34" t="n"/>
      <c r="E35" s="34" t="n"/>
      <c r="F35" s="34" t="n"/>
      <c r="G35" s="69" t="n"/>
      <c r="H35" s="36" t="n"/>
      <c r="I35" s="34" t="n"/>
      <c r="J35" s="34" t="n"/>
      <c r="K35" s="69" t="n"/>
      <c r="L35" s="36" t="n"/>
      <c r="M35" s="34" t="n"/>
      <c r="N35" s="75" t="n"/>
      <c r="O35" s="37" t="n"/>
      <c r="P35" s="37" t="n"/>
      <c r="Q35" s="37" t="n"/>
      <c r="R35" s="76" t="n"/>
      <c r="S35" s="77" t="n"/>
      <c r="T35" s="77" t="n"/>
      <c r="U35" s="77" t="n"/>
      <c r="V35" s="77" t="n"/>
      <c r="W35" s="34" t="n"/>
      <c r="X35" s="78" t="n"/>
      <c r="Y35" s="46" t="n"/>
      <c r="Z35" s="71">
        <f>IF($A35="","",SUM($S35:$U35))</f>
        <v/>
      </c>
      <c r="AA35" s="72">
        <f>IF($A35="","",IFERROR($Z35/$P35,0))</f>
        <v/>
      </c>
      <c r="AB35" s="41">
        <f>IF($A35="","",SUM($O35:$Q35))</f>
        <v/>
      </c>
      <c r="AC35" s="41">
        <f>IF($A35="","",IFERROR(INDEX('Planner'!$N$6:$N$205,MATCH($B35,'Planner'!$A$6:$A$205,0)),0))</f>
        <v/>
      </c>
      <c r="AD35" s="41">
        <f>IF($A35="","",$AC35-$O35-$Q35)</f>
        <v/>
      </c>
      <c r="AE35" s="41">
        <f>IF($A35="","",$AB35-$AC35)</f>
        <v/>
      </c>
      <c r="AF35" s="73">
        <f>IF($A35="","",IFERROR($AB35/'Settings'!$B$5,0))</f>
        <v/>
      </c>
      <c r="AG35" s="71">
        <f>IF($A35="","",$AF35*'Settings'!$B$4)</f>
        <v/>
      </c>
      <c r="AH35" s="71">
        <f>IF($A35="","",$AE35*'Settings'!$B$17)</f>
        <v/>
      </c>
      <c r="AI35" s="71">
        <f>IF($A35="","",$R35*'Settings'!$B$7)</f>
        <v/>
      </c>
      <c r="AJ35" s="71">
        <f>IF($A35="","",$Z35-$V35-$AH35-$AI35)</f>
        <v/>
      </c>
      <c r="AK35" s="72">
        <f>IF($A35="","",IFERROR($AJ35/$AB35,0))</f>
        <v/>
      </c>
      <c r="AL35" s="38">
        <f>IF($A35="","",IF(OR($C35="Passed",$C35="Expired",$C35="Canceled"),$C35,IF($C35="Completed","Completed",IF(AND($O35&lt;='Settings'!$B$8,$AA35&gt;='Settings'!$B$10,$AJ35&gt;='Settings'!$B$9),IF($C35="Booked","Booked - Meets Targets","Meets Targets"),IF($C35="Booked","Booked - Below Target","Review")))))</f>
        <v/>
      </c>
      <c r="AM35" s="38">
        <f>IF($A35="","",IF(COUNTIF($A$6:$A$205,$A35)&gt;1,"Duplicate Load ID",IF(COUNTIF('Planner'!$A$6:$A$205,$B35)=0,"Trip ID not found",IF(($G35+$H35)&gt;($K35+$L35),"Check schedule",IF(MIN($N35,$O35,$P35,$Q35,$R35,$S35,$T35,$U35,$V35)&lt;0,"Negative value","OK")))))</f>
        <v/>
      </c>
    </row>
    <row r="36">
      <c r="A36" s="34" t="n"/>
      <c r="B36" s="34" t="n"/>
      <c r="C36" s="34" t="n"/>
      <c r="D36" s="34" t="n"/>
      <c r="E36" s="34" t="n"/>
      <c r="F36" s="34" t="n"/>
      <c r="G36" s="69" t="n"/>
      <c r="H36" s="36" t="n"/>
      <c r="I36" s="34" t="n"/>
      <c r="J36" s="34" t="n"/>
      <c r="K36" s="69" t="n"/>
      <c r="L36" s="36" t="n"/>
      <c r="M36" s="34" t="n"/>
      <c r="N36" s="75" t="n"/>
      <c r="O36" s="37" t="n"/>
      <c r="P36" s="37" t="n"/>
      <c r="Q36" s="37" t="n"/>
      <c r="R36" s="76" t="n"/>
      <c r="S36" s="77" t="n"/>
      <c r="T36" s="77" t="n"/>
      <c r="U36" s="77" t="n"/>
      <c r="V36" s="77" t="n"/>
      <c r="W36" s="34" t="n"/>
      <c r="X36" s="78" t="n"/>
      <c r="Y36" s="46" t="n"/>
      <c r="Z36" s="71">
        <f>IF($A36="","",SUM($S36:$U36))</f>
        <v/>
      </c>
      <c r="AA36" s="72">
        <f>IF($A36="","",IFERROR($Z36/$P36,0))</f>
        <v/>
      </c>
      <c r="AB36" s="41">
        <f>IF($A36="","",SUM($O36:$Q36))</f>
        <v/>
      </c>
      <c r="AC36" s="41">
        <f>IF($A36="","",IFERROR(INDEX('Planner'!$N$6:$N$205,MATCH($B36,'Planner'!$A$6:$A$205,0)),0))</f>
        <v/>
      </c>
      <c r="AD36" s="41">
        <f>IF($A36="","",$AC36-$O36-$Q36)</f>
        <v/>
      </c>
      <c r="AE36" s="41">
        <f>IF($A36="","",$AB36-$AC36)</f>
        <v/>
      </c>
      <c r="AF36" s="73">
        <f>IF($A36="","",IFERROR($AB36/'Settings'!$B$5,0))</f>
        <v/>
      </c>
      <c r="AG36" s="71">
        <f>IF($A36="","",$AF36*'Settings'!$B$4)</f>
        <v/>
      </c>
      <c r="AH36" s="71">
        <f>IF($A36="","",$AE36*'Settings'!$B$17)</f>
        <v/>
      </c>
      <c r="AI36" s="71">
        <f>IF($A36="","",$R36*'Settings'!$B$7)</f>
        <v/>
      </c>
      <c r="AJ36" s="71">
        <f>IF($A36="","",$Z36-$V36-$AH36-$AI36)</f>
        <v/>
      </c>
      <c r="AK36" s="72">
        <f>IF($A36="","",IFERROR($AJ36/$AB36,0))</f>
        <v/>
      </c>
      <c r="AL36" s="38">
        <f>IF($A36="","",IF(OR($C36="Passed",$C36="Expired",$C36="Canceled"),$C36,IF($C36="Completed","Completed",IF(AND($O36&lt;='Settings'!$B$8,$AA36&gt;='Settings'!$B$10,$AJ36&gt;='Settings'!$B$9),IF($C36="Booked","Booked - Meets Targets","Meets Targets"),IF($C36="Booked","Booked - Below Target","Review")))))</f>
        <v/>
      </c>
      <c r="AM36" s="38">
        <f>IF($A36="","",IF(COUNTIF($A$6:$A$205,$A36)&gt;1,"Duplicate Load ID",IF(COUNTIF('Planner'!$A$6:$A$205,$B36)=0,"Trip ID not found",IF(($G36+$H36)&gt;($K36+$L36),"Check schedule",IF(MIN($N36,$O36,$P36,$Q36,$R36,$S36,$T36,$U36,$V36)&lt;0,"Negative value","OK")))))</f>
        <v/>
      </c>
    </row>
    <row r="37">
      <c r="A37" s="34" t="n"/>
      <c r="B37" s="34" t="n"/>
      <c r="C37" s="34" t="n"/>
      <c r="D37" s="34" t="n"/>
      <c r="E37" s="34" t="n"/>
      <c r="F37" s="34" t="n"/>
      <c r="G37" s="69" t="n"/>
      <c r="H37" s="36" t="n"/>
      <c r="I37" s="34" t="n"/>
      <c r="J37" s="34" t="n"/>
      <c r="K37" s="69" t="n"/>
      <c r="L37" s="36" t="n"/>
      <c r="M37" s="34" t="n"/>
      <c r="N37" s="75" t="n"/>
      <c r="O37" s="37" t="n"/>
      <c r="P37" s="37" t="n"/>
      <c r="Q37" s="37" t="n"/>
      <c r="R37" s="76" t="n"/>
      <c r="S37" s="77" t="n"/>
      <c r="T37" s="77" t="n"/>
      <c r="U37" s="77" t="n"/>
      <c r="V37" s="77" t="n"/>
      <c r="W37" s="34" t="n"/>
      <c r="X37" s="78" t="n"/>
      <c r="Y37" s="46" t="n"/>
      <c r="Z37" s="71">
        <f>IF($A37="","",SUM($S37:$U37))</f>
        <v/>
      </c>
      <c r="AA37" s="72">
        <f>IF($A37="","",IFERROR($Z37/$P37,0))</f>
        <v/>
      </c>
      <c r="AB37" s="41">
        <f>IF($A37="","",SUM($O37:$Q37))</f>
        <v/>
      </c>
      <c r="AC37" s="41">
        <f>IF($A37="","",IFERROR(INDEX('Planner'!$N$6:$N$205,MATCH($B37,'Planner'!$A$6:$A$205,0)),0))</f>
        <v/>
      </c>
      <c r="AD37" s="41">
        <f>IF($A37="","",$AC37-$O37-$Q37)</f>
        <v/>
      </c>
      <c r="AE37" s="41">
        <f>IF($A37="","",$AB37-$AC37)</f>
        <v/>
      </c>
      <c r="AF37" s="73">
        <f>IF($A37="","",IFERROR($AB37/'Settings'!$B$5,0))</f>
        <v/>
      </c>
      <c r="AG37" s="71">
        <f>IF($A37="","",$AF37*'Settings'!$B$4)</f>
        <v/>
      </c>
      <c r="AH37" s="71">
        <f>IF($A37="","",$AE37*'Settings'!$B$17)</f>
        <v/>
      </c>
      <c r="AI37" s="71">
        <f>IF($A37="","",$R37*'Settings'!$B$7)</f>
        <v/>
      </c>
      <c r="AJ37" s="71">
        <f>IF($A37="","",$Z37-$V37-$AH37-$AI37)</f>
        <v/>
      </c>
      <c r="AK37" s="72">
        <f>IF($A37="","",IFERROR($AJ37/$AB37,0))</f>
        <v/>
      </c>
      <c r="AL37" s="38">
        <f>IF($A37="","",IF(OR($C37="Passed",$C37="Expired",$C37="Canceled"),$C37,IF($C37="Completed","Completed",IF(AND($O37&lt;='Settings'!$B$8,$AA37&gt;='Settings'!$B$10,$AJ37&gt;='Settings'!$B$9),IF($C37="Booked","Booked - Meets Targets","Meets Targets"),IF($C37="Booked","Booked - Below Target","Review")))))</f>
        <v/>
      </c>
      <c r="AM37" s="38">
        <f>IF($A37="","",IF(COUNTIF($A$6:$A$205,$A37)&gt;1,"Duplicate Load ID",IF(COUNTIF('Planner'!$A$6:$A$205,$B37)=0,"Trip ID not found",IF(($G37+$H37)&gt;($K37+$L37),"Check schedule",IF(MIN($N37,$O37,$P37,$Q37,$R37,$S37,$T37,$U37,$V37)&lt;0,"Negative value","OK")))))</f>
        <v/>
      </c>
    </row>
    <row r="38">
      <c r="A38" s="34" t="n"/>
      <c r="B38" s="34" t="n"/>
      <c r="C38" s="34" t="n"/>
      <c r="D38" s="34" t="n"/>
      <c r="E38" s="34" t="n"/>
      <c r="F38" s="34" t="n"/>
      <c r="G38" s="69" t="n"/>
      <c r="H38" s="36" t="n"/>
      <c r="I38" s="34" t="n"/>
      <c r="J38" s="34" t="n"/>
      <c r="K38" s="69" t="n"/>
      <c r="L38" s="36" t="n"/>
      <c r="M38" s="34" t="n"/>
      <c r="N38" s="75" t="n"/>
      <c r="O38" s="37" t="n"/>
      <c r="P38" s="37" t="n"/>
      <c r="Q38" s="37" t="n"/>
      <c r="R38" s="76" t="n"/>
      <c r="S38" s="77" t="n"/>
      <c r="T38" s="77" t="n"/>
      <c r="U38" s="77" t="n"/>
      <c r="V38" s="77" t="n"/>
      <c r="W38" s="34" t="n"/>
      <c r="X38" s="78" t="n"/>
      <c r="Y38" s="46" t="n"/>
      <c r="Z38" s="71">
        <f>IF($A38="","",SUM($S38:$U38))</f>
        <v/>
      </c>
      <c r="AA38" s="72">
        <f>IF($A38="","",IFERROR($Z38/$P38,0))</f>
        <v/>
      </c>
      <c r="AB38" s="41">
        <f>IF($A38="","",SUM($O38:$Q38))</f>
        <v/>
      </c>
      <c r="AC38" s="41">
        <f>IF($A38="","",IFERROR(INDEX('Planner'!$N$6:$N$205,MATCH($B38,'Planner'!$A$6:$A$205,0)),0))</f>
        <v/>
      </c>
      <c r="AD38" s="41">
        <f>IF($A38="","",$AC38-$O38-$Q38)</f>
        <v/>
      </c>
      <c r="AE38" s="41">
        <f>IF($A38="","",$AB38-$AC38)</f>
        <v/>
      </c>
      <c r="AF38" s="73">
        <f>IF($A38="","",IFERROR($AB38/'Settings'!$B$5,0))</f>
        <v/>
      </c>
      <c r="AG38" s="71">
        <f>IF($A38="","",$AF38*'Settings'!$B$4)</f>
        <v/>
      </c>
      <c r="AH38" s="71">
        <f>IF($A38="","",$AE38*'Settings'!$B$17)</f>
        <v/>
      </c>
      <c r="AI38" s="71">
        <f>IF($A38="","",$R38*'Settings'!$B$7)</f>
        <v/>
      </c>
      <c r="AJ38" s="71">
        <f>IF($A38="","",$Z38-$V38-$AH38-$AI38)</f>
        <v/>
      </c>
      <c r="AK38" s="72">
        <f>IF($A38="","",IFERROR($AJ38/$AB38,0))</f>
        <v/>
      </c>
      <c r="AL38" s="38">
        <f>IF($A38="","",IF(OR($C38="Passed",$C38="Expired",$C38="Canceled"),$C38,IF($C38="Completed","Completed",IF(AND($O38&lt;='Settings'!$B$8,$AA38&gt;='Settings'!$B$10,$AJ38&gt;='Settings'!$B$9),IF($C38="Booked","Booked - Meets Targets","Meets Targets"),IF($C38="Booked","Booked - Below Target","Review")))))</f>
        <v/>
      </c>
      <c r="AM38" s="38">
        <f>IF($A38="","",IF(COUNTIF($A$6:$A$205,$A38)&gt;1,"Duplicate Load ID",IF(COUNTIF('Planner'!$A$6:$A$205,$B38)=0,"Trip ID not found",IF(($G38+$H38)&gt;($K38+$L38),"Check schedule",IF(MIN($N38,$O38,$P38,$Q38,$R38,$S38,$T38,$U38,$V38)&lt;0,"Negative value","OK")))))</f>
        <v/>
      </c>
    </row>
    <row r="39">
      <c r="A39" s="34" t="n"/>
      <c r="B39" s="34" t="n"/>
      <c r="C39" s="34" t="n"/>
      <c r="D39" s="34" t="n"/>
      <c r="E39" s="34" t="n"/>
      <c r="F39" s="34" t="n"/>
      <c r="G39" s="69" t="n"/>
      <c r="H39" s="36" t="n"/>
      <c r="I39" s="34" t="n"/>
      <c r="J39" s="34" t="n"/>
      <c r="K39" s="69" t="n"/>
      <c r="L39" s="36" t="n"/>
      <c r="M39" s="34" t="n"/>
      <c r="N39" s="75" t="n"/>
      <c r="O39" s="37" t="n"/>
      <c r="P39" s="37" t="n"/>
      <c r="Q39" s="37" t="n"/>
      <c r="R39" s="76" t="n"/>
      <c r="S39" s="77" t="n"/>
      <c r="T39" s="77" t="n"/>
      <c r="U39" s="77" t="n"/>
      <c r="V39" s="77" t="n"/>
      <c r="W39" s="34" t="n"/>
      <c r="X39" s="78" t="n"/>
      <c r="Y39" s="46" t="n"/>
      <c r="Z39" s="71">
        <f>IF($A39="","",SUM($S39:$U39))</f>
        <v/>
      </c>
      <c r="AA39" s="72">
        <f>IF($A39="","",IFERROR($Z39/$P39,0))</f>
        <v/>
      </c>
      <c r="AB39" s="41">
        <f>IF($A39="","",SUM($O39:$Q39))</f>
        <v/>
      </c>
      <c r="AC39" s="41">
        <f>IF($A39="","",IFERROR(INDEX('Planner'!$N$6:$N$205,MATCH($B39,'Planner'!$A$6:$A$205,0)),0))</f>
        <v/>
      </c>
      <c r="AD39" s="41">
        <f>IF($A39="","",$AC39-$O39-$Q39)</f>
        <v/>
      </c>
      <c r="AE39" s="41">
        <f>IF($A39="","",$AB39-$AC39)</f>
        <v/>
      </c>
      <c r="AF39" s="73">
        <f>IF($A39="","",IFERROR($AB39/'Settings'!$B$5,0))</f>
        <v/>
      </c>
      <c r="AG39" s="71">
        <f>IF($A39="","",$AF39*'Settings'!$B$4)</f>
        <v/>
      </c>
      <c r="AH39" s="71">
        <f>IF($A39="","",$AE39*'Settings'!$B$17)</f>
        <v/>
      </c>
      <c r="AI39" s="71">
        <f>IF($A39="","",$R39*'Settings'!$B$7)</f>
        <v/>
      </c>
      <c r="AJ39" s="71">
        <f>IF($A39="","",$Z39-$V39-$AH39-$AI39)</f>
        <v/>
      </c>
      <c r="AK39" s="72">
        <f>IF($A39="","",IFERROR($AJ39/$AB39,0))</f>
        <v/>
      </c>
      <c r="AL39" s="38">
        <f>IF($A39="","",IF(OR($C39="Passed",$C39="Expired",$C39="Canceled"),$C39,IF($C39="Completed","Completed",IF(AND($O39&lt;='Settings'!$B$8,$AA39&gt;='Settings'!$B$10,$AJ39&gt;='Settings'!$B$9),IF($C39="Booked","Booked - Meets Targets","Meets Targets"),IF($C39="Booked","Booked - Below Target","Review")))))</f>
        <v/>
      </c>
      <c r="AM39" s="38">
        <f>IF($A39="","",IF(COUNTIF($A$6:$A$205,$A39)&gt;1,"Duplicate Load ID",IF(COUNTIF('Planner'!$A$6:$A$205,$B39)=0,"Trip ID not found",IF(($G39+$H39)&gt;($K39+$L39),"Check schedule",IF(MIN($N39,$O39,$P39,$Q39,$R39,$S39,$T39,$U39,$V39)&lt;0,"Negative value","OK")))))</f>
        <v/>
      </c>
    </row>
    <row r="40">
      <c r="A40" s="34" t="n"/>
      <c r="B40" s="34" t="n"/>
      <c r="C40" s="34" t="n"/>
      <c r="D40" s="34" t="n"/>
      <c r="E40" s="34" t="n"/>
      <c r="F40" s="34" t="n"/>
      <c r="G40" s="69" t="n"/>
      <c r="H40" s="36" t="n"/>
      <c r="I40" s="34" t="n"/>
      <c r="J40" s="34" t="n"/>
      <c r="K40" s="69" t="n"/>
      <c r="L40" s="36" t="n"/>
      <c r="M40" s="34" t="n"/>
      <c r="N40" s="75" t="n"/>
      <c r="O40" s="37" t="n"/>
      <c r="P40" s="37" t="n"/>
      <c r="Q40" s="37" t="n"/>
      <c r="R40" s="76" t="n"/>
      <c r="S40" s="77" t="n"/>
      <c r="T40" s="77" t="n"/>
      <c r="U40" s="77" t="n"/>
      <c r="V40" s="77" t="n"/>
      <c r="W40" s="34" t="n"/>
      <c r="X40" s="78" t="n"/>
      <c r="Y40" s="46" t="n"/>
      <c r="Z40" s="71">
        <f>IF($A40="","",SUM($S40:$U40))</f>
        <v/>
      </c>
      <c r="AA40" s="72">
        <f>IF($A40="","",IFERROR($Z40/$P40,0))</f>
        <v/>
      </c>
      <c r="AB40" s="41">
        <f>IF($A40="","",SUM($O40:$Q40))</f>
        <v/>
      </c>
      <c r="AC40" s="41">
        <f>IF($A40="","",IFERROR(INDEX('Planner'!$N$6:$N$205,MATCH($B40,'Planner'!$A$6:$A$205,0)),0))</f>
        <v/>
      </c>
      <c r="AD40" s="41">
        <f>IF($A40="","",$AC40-$O40-$Q40)</f>
        <v/>
      </c>
      <c r="AE40" s="41">
        <f>IF($A40="","",$AB40-$AC40)</f>
        <v/>
      </c>
      <c r="AF40" s="73">
        <f>IF($A40="","",IFERROR($AB40/'Settings'!$B$5,0))</f>
        <v/>
      </c>
      <c r="AG40" s="71">
        <f>IF($A40="","",$AF40*'Settings'!$B$4)</f>
        <v/>
      </c>
      <c r="AH40" s="71">
        <f>IF($A40="","",$AE40*'Settings'!$B$17)</f>
        <v/>
      </c>
      <c r="AI40" s="71">
        <f>IF($A40="","",$R40*'Settings'!$B$7)</f>
        <v/>
      </c>
      <c r="AJ40" s="71">
        <f>IF($A40="","",$Z40-$V40-$AH40-$AI40)</f>
        <v/>
      </c>
      <c r="AK40" s="72">
        <f>IF($A40="","",IFERROR($AJ40/$AB40,0))</f>
        <v/>
      </c>
      <c r="AL40" s="38">
        <f>IF($A40="","",IF(OR($C40="Passed",$C40="Expired",$C40="Canceled"),$C40,IF($C40="Completed","Completed",IF(AND($O40&lt;='Settings'!$B$8,$AA40&gt;='Settings'!$B$10,$AJ40&gt;='Settings'!$B$9),IF($C40="Booked","Booked - Meets Targets","Meets Targets"),IF($C40="Booked","Booked - Below Target","Review")))))</f>
        <v/>
      </c>
      <c r="AM40" s="38">
        <f>IF($A40="","",IF(COUNTIF($A$6:$A$205,$A40)&gt;1,"Duplicate Load ID",IF(COUNTIF('Planner'!$A$6:$A$205,$B40)=0,"Trip ID not found",IF(($G40+$H40)&gt;($K40+$L40),"Check schedule",IF(MIN($N40,$O40,$P40,$Q40,$R40,$S40,$T40,$U40,$V40)&lt;0,"Negative value","OK")))))</f>
        <v/>
      </c>
    </row>
    <row r="41">
      <c r="A41" s="34" t="n"/>
      <c r="B41" s="34" t="n"/>
      <c r="C41" s="34" t="n"/>
      <c r="D41" s="34" t="n"/>
      <c r="E41" s="34" t="n"/>
      <c r="F41" s="34" t="n"/>
      <c r="G41" s="69" t="n"/>
      <c r="H41" s="36" t="n"/>
      <c r="I41" s="34" t="n"/>
      <c r="J41" s="34" t="n"/>
      <c r="K41" s="69" t="n"/>
      <c r="L41" s="36" t="n"/>
      <c r="M41" s="34" t="n"/>
      <c r="N41" s="75" t="n"/>
      <c r="O41" s="37" t="n"/>
      <c r="P41" s="37" t="n"/>
      <c r="Q41" s="37" t="n"/>
      <c r="R41" s="76" t="n"/>
      <c r="S41" s="77" t="n"/>
      <c r="T41" s="77" t="n"/>
      <c r="U41" s="77" t="n"/>
      <c r="V41" s="77" t="n"/>
      <c r="W41" s="34" t="n"/>
      <c r="X41" s="78" t="n"/>
      <c r="Y41" s="46" t="n"/>
      <c r="Z41" s="71">
        <f>IF($A41="","",SUM($S41:$U41))</f>
        <v/>
      </c>
      <c r="AA41" s="72">
        <f>IF($A41="","",IFERROR($Z41/$P41,0))</f>
        <v/>
      </c>
      <c r="AB41" s="41">
        <f>IF($A41="","",SUM($O41:$Q41))</f>
        <v/>
      </c>
      <c r="AC41" s="41">
        <f>IF($A41="","",IFERROR(INDEX('Planner'!$N$6:$N$205,MATCH($B41,'Planner'!$A$6:$A$205,0)),0))</f>
        <v/>
      </c>
      <c r="AD41" s="41">
        <f>IF($A41="","",$AC41-$O41-$Q41)</f>
        <v/>
      </c>
      <c r="AE41" s="41">
        <f>IF($A41="","",$AB41-$AC41)</f>
        <v/>
      </c>
      <c r="AF41" s="73">
        <f>IF($A41="","",IFERROR($AB41/'Settings'!$B$5,0))</f>
        <v/>
      </c>
      <c r="AG41" s="71">
        <f>IF($A41="","",$AF41*'Settings'!$B$4)</f>
        <v/>
      </c>
      <c r="AH41" s="71">
        <f>IF($A41="","",$AE41*'Settings'!$B$17)</f>
        <v/>
      </c>
      <c r="AI41" s="71">
        <f>IF($A41="","",$R41*'Settings'!$B$7)</f>
        <v/>
      </c>
      <c r="AJ41" s="71">
        <f>IF($A41="","",$Z41-$V41-$AH41-$AI41)</f>
        <v/>
      </c>
      <c r="AK41" s="72">
        <f>IF($A41="","",IFERROR($AJ41/$AB41,0))</f>
        <v/>
      </c>
      <c r="AL41" s="38">
        <f>IF($A41="","",IF(OR($C41="Passed",$C41="Expired",$C41="Canceled"),$C41,IF($C41="Completed","Completed",IF(AND($O41&lt;='Settings'!$B$8,$AA41&gt;='Settings'!$B$10,$AJ41&gt;='Settings'!$B$9),IF($C41="Booked","Booked - Meets Targets","Meets Targets"),IF($C41="Booked","Booked - Below Target","Review")))))</f>
        <v/>
      </c>
      <c r="AM41" s="38">
        <f>IF($A41="","",IF(COUNTIF($A$6:$A$205,$A41)&gt;1,"Duplicate Load ID",IF(COUNTIF('Planner'!$A$6:$A$205,$B41)=0,"Trip ID not found",IF(($G41+$H41)&gt;($K41+$L41),"Check schedule",IF(MIN($N41,$O41,$P41,$Q41,$R41,$S41,$T41,$U41,$V41)&lt;0,"Negative value","OK")))))</f>
        <v/>
      </c>
    </row>
    <row r="42">
      <c r="A42" s="34" t="n"/>
      <c r="B42" s="34" t="n"/>
      <c r="C42" s="34" t="n"/>
      <c r="D42" s="34" t="n"/>
      <c r="E42" s="34" t="n"/>
      <c r="F42" s="34" t="n"/>
      <c r="G42" s="69" t="n"/>
      <c r="H42" s="36" t="n"/>
      <c r="I42" s="34" t="n"/>
      <c r="J42" s="34" t="n"/>
      <c r="K42" s="69" t="n"/>
      <c r="L42" s="36" t="n"/>
      <c r="M42" s="34" t="n"/>
      <c r="N42" s="75" t="n"/>
      <c r="O42" s="37" t="n"/>
      <c r="P42" s="37" t="n"/>
      <c r="Q42" s="37" t="n"/>
      <c r="R42" s="76" t="n"/>
      <c r="S42" s="77" t="n"/>
      <c r="T42" s="77" t="n"/>
      <c r="U42" s="77" t="n"/>
      <c r="V42" s="77" t="n"/>
      <c r="W42" s="34" t="n"/>
      <c r="X42" s="78" t="n"/>
      <c r="Y42" s="46" t="n"/>
      <c r="Z42" s="71">
        <f>IF($A42="","",SUM($S42:$U42))</f>
        <v/>
      </c>
      <c r="AA42" s="72">
        <f>IF($A42="","",IFERROR($Z42/$P42,0))</f>
        <v/>
      </c>
      <c r="AB42" s="41">
        <f>IF($A42="","",SUM($O42:$Q42))</f>
        <v/>
      </c>
      <c r="AC42" s="41">
        <f>IF($A42="","",IFERROR(INDEX('Planner'!$N$6:$N$205,MATCH($B42,'Planner'!$A$6:$A$205,0)),0))</f>
        <v/>
      </c>
      <c r="AD42" s="41">
        <f>IF($A42="","",$AC42-$O42-$Q42)</f>
        <v/>
      </c>
      <c r="AE42" s="41">
        <f>IF($A42="","",$AB42-$AC42)</f>
        <v/>
      </c>
      <c r="AF42" s="73">
        <f>IF($A42="","",IFERROR($AB42/'Settings'!$B$5,0))</f>
        <v/>
      </c>
      <c r="AG42" s="71">
        <f>IF($A42="","",$AF42*'Settings'!$B$4)</f>
        <v/>
      </c>
      <c r="AH42" s="71">
        <f>IF($A42="","",$AE42*'Settings'!$B$17)</f>
        <v/>
      </c>
      <c r="AI42" s="71">
        <f>IF($A42="","",$R42*'Settings'!$B$7)</f>
        <v/>
      </c>
      <c r="AJ42" s="71">
        <f>IF($A42="","",$Z42-$V42-$AH42-$AI42)</f>
        <v/>
      </c>
      <c r="AK42" s="72">
        <f>IF($A42="","",IFERROR($AJ42/$AB42,0))</f>
        <v/>
      </c>
      <c r="AL42" s="38">
        <f>IF($A42="","",IF(OR($C42="Passed",$C42="Expired",$C42="Canceled"),$C42,IF($C42="Completed","Completed",IF(AND($O42&lt;='Settings'!$B$8,$AA42&gt;='Settings'!$B$10,$AJ42&gt;='Settings'!$B$9),IF($C42="Booked","Booked - Meets Targets","Meets Targets"),IF($C42="Booked","Booked - Below Target","Review")))))</f>
        <v/>
      </c>
      <c r="AM42" s="38">
        <f>IF($A42="","",IF(COUNTIF($A$6:$A$205,$A42)&gt;1,"Duplicate Load ID",IF(COUNTIF('Planner'!$A$6:$A$205,$B42)=0,"Trip ID not found",IF(($G42+$H42)&gt;($K42+$L42),"Check schedule",IF(MIN($N42,$O42,$P42,$Q42,$R42,$S42,$T42,$U42,$V42)&lt;0,"Negative value","OK")))))</f>
        <v/>
      </c>
    </row>
    <row r="43">
      <c r="A43" s="34" t="n"/>
      <c r="B43" s="34" t="n"/>
      <c r="C43" s="34" t="n"/>
      <c r="D43" s="34" t="n"/>
      <c r="E43" s="34" t="n"/>
      <c r="F43" s="34" t="n"/>
      <c r="G43" s="69" t="n"/>
      <c r="H43" s="36" t="n"/>
      <c r="I43" s="34" t="n"/>
      <c r="J43" s="34" t="n"/>
      <c r="K43" s="69" t="n"/>
      <c r="L43" s="36" t="n"/>
      <c r="M43" s="34" t="n"/>
      <c r="N43" s="75" t="n"/>
      <c r="O43" s="37" t="n"/>
      <c r="P43" s="37" t="n"/>
      <c r="Q43" s="37" t="n"/>
      <c r="R43" s="76" t="n"/>
      <c r="S43" s="77" t="n"/>
      <c r="T43" s="77" t="n"/>
      <c r="U43" s="77" t="n"/>
      <c r="V43" s="77" t="n"/>
      <c r="W43" s="34" t="n"/>
      <c r="X43" s="78" t="n"/>
      <c r="Y43" s="46" t="n"/>
      <c r="Z43" s="71">
        <f>IF($A43="","",SUM($S43:$U43))</f>
        <v/>
      </c>
      <c r="AA43" s="72">
        <f>IF($A43="","",IFERROR($Z43/$P43,0))</f>
        <v/>
      </c>
      <c r="AB43" s="41">
        <f>IF($A43="","",SUM($O43:$Q43))</f>
        <v/>
      </c>
      <c r="AC43" s="41">
        <f>IF($A43="","",IFERROR(INDEX('Planner'!$N$6:$N$205,MATCH($B43,'Planner'!$A$6:$A$205,0)),0))</f>
        <v/>
      </c>
      <c r="AD43" s="41">
        <f>IF($A43="","",$AC43-$O43-$Q43)</f>
        <v/>
      </c>
      <c r="AE43" s="41">
        <f>IF($A43="","",$AB43-$AC43)</f>
        <v/>
      </c>
      <c r="AF43" s="73">
        <f>IF($A43="","",IFERROR($AB43/'Settings'!$B$5,0))</f>
        <v/>
      </c>
      <c r="AG43" s="71">
        <f>IF($A43="","",$AF43*'Settings'!$B$4)</f>
        <v/>
      </c>
      <c r="AH43" s="71">
        <f>IF($A43="","",$AE43*'Settings'!$B$17)</f>
        <v/>
      </c>
      <c r="AI43" s="71">
        <f>IF($A43="","",$R43*'Settings'!$B$7)</f>
        <v/>
      </c>
      <c r="AJ43" s="71">
        <f>IF($A43="","",$Z43-$V43-$AH43-$AI43)</f>
        <v/>
      </c>
      <c r="AK43" s="72">
        <f>IF($A43="","",IFERROR($AJ43/$AB43,0))</f>
        <v/>
      </c>
      <c r="AL43" s="38">
        <f>IF($A43="","",IF(OR($C43="Passed",$C43="Expired",$C43="Canceled"),$C43,IF($C43="Completed","Completed",IF(AND($O43&lt;='Settings'!$B$8,$AA43&gt;='Settings'!$B$10,$AJ43&gt;='Settings'!$B$9),IF($C43="Booked","Booked - Meets Targets","Meets Targets"),IF($C43="Booked","Booked - Below Target","Review")))))</f>
        <v/>
      </c>
      <c r="AM43" s="38">
        <f>IF($A43="","",IF(COUNTIF($A$6:$A$205,$A43)&gt;1,"Duplicate Load ID",IF(COUNTIF('Planner'!$A$6:$A$205,$B43)=0,"Trip ID not found",IF(($G43+$H43)&gt;($K43+$L43),"Check schedule",IF(MIN($N43,$O43,$P43,$Q43,$R43,$S43,$T43,$U43,$V43)&lt;0,"Negative value","OK")))))</f>
        <v/>
      </c>
    </row>
    <row r="44">
      <c r="A44" s="34" t="n"/>
      <c r="B44" s="34" t="n"/>
      <c r="C44" s="34" t="n"/>
      <c r="D44" s="34" t="n"/>
      <c r="E44" s="34" t="n"/>
      <c r="F44" s="34" t="n"/>
      <c r="G44" s="69" t="n"/>
      <c r="H44" s="36" t="n"/>
      <c r="I44" s="34" t="n"/>
      <c r="J44" s="34" t="n"/>
      <c r="K44" s="69" t="n"/>
      <c r="L44" s="36" t="n"/>
      <c r="M44" s="34" t="n"/>
      <c r="N44" s="75" t="n"/>
      <c r="O44" s="37" t="n"/>
      <c r="P44" s="37" t="n"/>
      <c r="Q44" s="37" t="n"/>
      <c r="R44" s="76" t="n"/>
      <c r="S44" s="77" t="n"/>
      <c r="T44" s="77" t="n"/>
      <c r="U44" s="77" t="n"/>
      <c r="V44" s="77" t="n"/>
      <c r="W44" s="34" t="n"/>
      <c r="X44" s="78" t="n"/>
      <c r="Y44" s="46" t="n"/>
      <c r="Z44" s="71">
        <f>IF($A44="","",SUM($S44:$U44))</f>
        <v/>
      </c>
      <c r="AA44" s="72">
        <f>IF($A44="","",IFERROR($Z44/$P44,0))</f>
        <v/>
      </c>
      <c r="AB44" s="41">
        <f>IF($A44="","",SUM($O44:$Q44))</f>
        <v/>
      </c>
      <c r="AC44" s="41">
        <f>IF($A44="","",IFERROR(INDEX('Planner'!$N$6:$N$205,MATCH($B44,'Planner'!$A$6:$A$205,0)),0))</f>
        <v/>
      </c>
      <c r="AD44" s="41">
        <f>IF($A44="","",$AC44-$O44-$Q44)</f>
        <v/>
      </c>
      <c r="AE44" s="41">
        <f>IF($A44="","",$AB44-$AC44)</f>
        <v/>
      </c>
      <c r="AF44" s="73">
        <f>IF($A44="","",IFERROR($AB44/'Settings'!$B$5,0))</f>
        <v/>
      </c>
      <c r="AG44" s="71">
        <f>IF($A44="","",$AF44*'Settings'!$B$4)</f>
        <v/>
      </c>
      <c r="AH44" s="71">
        <f>IF($A44="","",$AE44*'Settings'!$B$17)</f>
        <v/>
      </c>
      <c r="AI44" s="71">
        <f>IF($A44="","",$R44*'Settings'!$B$7)</f>
        <v/>
      </c>
      <c r="AJ44" s="71">
        <f>IF($A44="","",$Z44-$V44-$AH44-$AI44)</f>
        <v/>
      </c>
      <c r="AK44" s="72">
        <f>IF($A44="","",IFERROR($AJ44/$AB44,0))</f>
        <v/>
      </c>
      <c r="AL44" s="38">
        <f>IF($A44="","",IF(OR($C44="Passed",$C44="Expired",$C44="Canceled"),$C44,IF($C44="Completed","Completed",IF(AND($O44&lt;='Settings'!$B$8,$AA44&gt;='Settings'!$B$10,$AJ44&gt;='Settings'!$B$9),IF($C44="Booked","Booked - Meets Targets","Meets Targets"),IF($C44="Booked","Booked - Below Target","Review")))))</f>
        <v/>
      </c>
      <c r="AM44" s="38">
        <f>IF($A44="","",IF(COUNTIF($A$6:$A$205,$A44)&gt;1,"Duplicate Load ID",IF(COUNTIF('Planner'!$A$6:$A$205,$B44)=0,"Trip ID not found",IF(($G44+$H44)&gt;($K44+$L44),"Check schedule",IF(MIN($N44,$O44,$P44,$Q44,$R44,$S44,$T44,$U44,$V44)&lt;0,"Negative value","OK")))))</f>
        <v/>
      </c>
    </row>
    <row r="45">
      <c r="A45" s="34" t="n"/>
      <c r="B45" s="34" t="n"/>
      <c r="C45" s="34" t="n"/>
      <c r="D45" s="34" t="n"/>
      <c r="E45" s="34" t="n"/>
      <c r="F45" s="34" t="n"/>
      <c r="G45" s="69" t="n"/>
      <c r="H45" s="36" t="n"/>
      <c r="I45" s="34" t="n"/>
      <c r="J45" s="34" t="n"/>
      <c r="K45" s="69" t="n"/>
      <c r="L45" s="36" t="n"/>
      <c r="M45" s="34" t="n"/>
      <c r="N45" s="75" t="n"/>
      <c r="O45" s="37" t="n"/>
      <c r="P45" s="37" t="n"/>
      <c r="Q45" s="37" t="n"/>
      <c r="R45" s="76" t="n"/>
      <c r="S45" s="77" t="n"/>
      <c r="T45" s="77" t="n"/>
      <c r="U45" s="77" t="n"/>
      <c r="V45" s="77" t="n"/>
      <c r="W45" s="34" t="n"/>
      <c r="X45" s="78" t="n"/>
      <c r="Y45" s="46" t="n"/>
      <c r="Z45" s="71">
        <f>IF($A45="","",SUM($S45:$U45))</f>
        <v/>
      </c>
      <c r="AA45" s="72">
        <f>IF($A45="","",IFERROR($Z45/$P45,0))</f>
        <v/>
      </c>
      <c r="AB45" s="41">
        <f>IF($A45="","",SUM($O45:$Q45))</f>
        <v/>
      </c>
      <c r="AC45" s="41">
        <f>IF($A45="","",IFERROR(INDEX('Planner'!$N$6:$N$205,MATCH($B45,'Planner'!$A$6:$A$205,0)),0))</f>
        <v/>
      </c>
      <c r="AD45" s="41">
        <f>IF($A45="","",$AC45-$O45-$Q45)</f>
        <v/>
      </c>
      <c r="AE45" s="41">
        <f>IF($A45="","",$AB45-$AC45)</f>
        <v/>
      </c>
      <c r="AF45" s="73">
        <f>IF($A45="","",IFERROR($AB45/'Settings'!$B$5,0))</f>
        <v/>
      </c>
      <c r="AG45" s="71">
        <f>IF($A45="","",$AF45*'Settings'!$B$4)</f>
        <v/>
      </c>
      <c r="AH45" s="71">
        <f>IF($A45="","",$AE45*'Settings'!$B$17)</f>
        <v/>
      </c>
      <c r="AI45" s="71">
        <f>IF($A45="","",$R45*'Settings'!$B$7)</f>
        <v/>
      </c>
      <c r="AJ45" s="71">
        <f>IF($A45="","",$Z45-$V45-$AH45-$AI45)</f>
        <v/>
      </c>
      <c r="AK45" s="72">
        <f>IF($A45="","",IFERROR($AJ45/$AB45,0))</f>
        <v/>
      </c>
      <c r="AL45" s="38">
        <f>IF($A45="","",IF(OR($C45="Passed",$C45="Expired",$C45="Canceled"),$C45,IF($C45="Completed","Completed",IF(AND($O45&lt;='Settings'!$B$8,$AA45&gt;='Settings'!$B$10,$AJ45&gt;='Settings'!$B$9),IF($C45="Booked","Booked - Meets Targets","Meets Targets"),IF($C45="Booked","Booked - Below Target","Review")))))</f>
        <v/>
      </c>
      <c r="AM45" s="38">
        <f>IF($A45="","",IF(COUNTIF($A$6:$A$205,$A45)&gt;1,"Duplicate Load ID",IF(COUNTIF('Planner'!$A$6:$A$205,$B45)=0,"Trip ID not found",IF(($G45+$H45)&gt;($K45+$L45),"Check schedule",IF(MIN($N45,$O45,$P45,$Q45,$R45,$S45,$T45,$U45,$V45)&lt;0,"Negative value","OK")))))</f>
        <v/>
      </c>
    </row>
    <row r="46">
      <c r="A46" s="34" t="n"/>
      <c r="B46" s="34" t="n"/>
      <c r="C46" s="34" t="n"/>
      <c r="D46" s="34" t="n"/>
      <c r="E46" s="34" t="n"/>
      <c r="F46" s="34" t="n"/>
      <c r="G46" s="69" t="n"/>
      <c r="H46" s="36" t="n"/>
      <c r="I46" s="34" t="n"/>
      <c r="J46" s="34" t="n"/>
      <c r="K46" s="69" t="n"/>
      <c r="L46" s="36" t="n"/>
      <c r="M46" s="34" t="n"/>
      <c r="N46" s="75" t="n"/>
      <c r="O46" s="37" t="n"/>
      <c r="P46" s="37" t="n"/>
      <c r="Q46" s="37" t="n"/>
      <c r="R46" s="76" t="n"/>
      <c r="S46" s="77" t="n"/>
      <c r="T46" s="77" t="n"/>
      <c r="U46" s="77" t="n"/>
      <c r="V46" s="77" t="n"/>
      <c r="W46" s="34" t="n"/>
      <c r="X46" s="78" t="n"/>
      <c r="Y46" s="46" t="n"/>
      <c r="Z46" s="71">
        <f>IF($A46="","",SUM($S46:$U46))</f>
        <v/>
      </c>
      <c r="AA46" s="72">
        <f>IF($A46="","",IFERROR($Z46/$P46,0))</f>
        <v/>
      </c>
      <c r="AB46" s="41">
        <f>IF($A46="","",SUM($O46:$Q46))</f>
        <v/>
      </c>
      <c r="AC46" s="41">
        <f>IF($A46="","",IFERROR(INDEX('Planner'!$N$6:$N$205,MATCH($B46,'Planner'!$A$6:$A$205,0)),0))</f>
        <v/>
      </c>
      <c r="AD46" s="41">
        <f>IF($A46="","",$AC46-$O46-$Q46)</f>
        <v/>
      </c>
      <c r="AE46" s="41">
        <f>IF($A46="","",$AB46-$AC46)</f>
        <v/>
      </c>
      <c r="AF46" s="73">
        <f>IF($A46="","",IFERROR($AB46/'Settings'!$B$5,0))</f>
        <v/>
      </c>
      <c r="AG46" s="71">
        <f>IF($A46="","",$AF46*'Settings'!$B$4)</f>
        <v/>
      </c>
      <c r="AH46" s="71">
        <f>IF($A46="","",$AE46*'Settings'!$B$17)</f>
        <v/>
      </c>
      <c r="AI46" s="71">
        <f>IF($A46="","",$R46*'Settings'!$B$7)</f>
        <v/>
      </c>
      <c r="AJ46" s="71">
        <f>IF($A46="","",$Z46-$V46-$AH46-$AI46)</f>
        <v/>
      </c>
      <c r="AK46" s="72">
        <f>IF($A46="","",IFERROR($AJ46/$AB46,0))</f>
        <v/>
      </c>
      <c r="AL46" s="38">
        <f>IF($A46="","",IF(OR($C46="Passed",$C46="Expired",$C46="Canceled"),$C46,IF($C46="Completed","Completed",IF(AND($O46&lt;='Settings'!$B$8,$AA46&gt;='Settings'!$B$10,$AJ46&gt;='Settings'!$B$9),IF($C46="Booked","Booked - Meets Targets","Meets Targets"),IF($C46="Booked","Booked - Below Target","Review")))))</f>
        <v/>
      </c>
      <c r="AM46" s="38">
        <f>IF($A46="","",IF(COUNTIF($A$6:$A$205,$A46)&gt;1,"Duplicate Load ID",IF(COUNTIF('Planner'!$A$6:$A$205,$B46)=0,"Trip ID not found",IF(($G46+$H46)&gt;($K46+$L46),"Check schedule",IF(MIN($N46,$O46,$P46,$Q46,$R46,$S46,$T46,$U46,$V46)&lt;0,"Negative value","OK")))))</f>
        <v/>
      </c>
    </row>
    <row r="47">
      <c r="A47" s="34" t="n"/>
      <c r="B47" s="34" t="n"/>
      <c r="C47" s="34" t="n"/>
      <c r="D47" s="34" t="n"/>
      <c r="E47" s="34" t="n"/>
      <c r="F47" s="34" t="n"/>
      <c r="G47" s="69" t="n"/>
      <c r="H47" s="36" t="n"/>
      <c r="I47" s="34" t="n"/>
      <c r="J47" s="34" t="n"/>
      <c r="K47" s="69" t="n"/>
      <c r="L47" s="36" t="n"/>
      <c r="M47" s="34" t="n"/>
      <c r="N47" s="75" t="n"/>
      <c r="O47" s="37" t="n"/>
      <c r="P47" s="37" t="n"/>
      <c r="Q47" s="37" t="n"/>
      <c r="R47" s="76" t="n"/>
      <c r="S47" s="77" t="n"/>
      <c r="T47" s="77" t="n"/>
      <c r="U47" s="77" t="n"/>
      <c r="V47" s="77" t="n"/>
      <c r="W47" s="34" t="n"/>
      <c r="X47" s="78" t="n"/>
      <c r="Y47" s="46" t="n"/>
      <c r="Z47" s="71">
        <f>IF($A47="","",SUM($S47:$U47))</f>
        <v/>
      </c>
      <c r="AA47" s="72">
        <f>IF($A47="","",IFERROR($Z47/$P47,0))</f>
        <v/>
      </c>
      <c r="AB47" s="41">
        <f>IF($A47="","",SUM($O47:$Q47))</f>
        <v/>
      </c>
      <c r="AC47" s="41">
        <f>IF($A47="","",IFERROR(INDEX('Planner'!$N$6:$N$205,MATCH($B47,'Planner'!$A$6:$A$205,0)),0))</f>
        <v/>
      </c>
      <c r="AD47" s="41">
        <f>IF($A47="","",$AC47-$O47-$Q47)</f>
        <v/>
      </c>
      <c r="AE47" s="41">
        <f>IF($A47="","",$AB47-$AC47)</f>
        <v/>
      </c>
      <c r="AF47" s="73">
        <f>IF($A47="","",IFERROR($AB47/'Settings'!$B$5,0))</f>
        <v/>
      </c>
      <c r="AG47" s="71">
        <f>IF($A47="","",$AF47*'Settings'!$B$4)</f>
        <v/>
      </c>
      <c r="AH47" s="71">
        <f>IF($A47="","",$AE47*'Settings'!$B$17)</f>
        <v/>
      </c>
      <c r="AI47" s="71">
        <f>IF($A47="","",$R47*'Settings'!$B$7)</f>
        <v/>
      </c>
      <c r="AJ47" s="71">
        <f>IF($A47="","",$Z47-$V47-$AH47-$AI47)</f>
        <v/>
      </c>
      <c r="AK47" s="72">
        <f>IF($A47="","",IFERROR($AJ47/$AB47,0))</f>
        <v/>
      </c>
      <c r="AL47" s="38">
        <f>IF($A47="","",IF(OR($C47="Passed",$C47="Expired",$C47="Canceled"),$C47,IF($C47="Completed","Completed",IF(AND($O47&lt;='Settings'!$B$8,$AA47&gt;='Settings'!$B$10,$AJ47&gt;='Settings'!$B$9),IF($C47="Booked","Booked - Meets Targets","Meets Targets"),IF($C47="Booked","Booked - Below Target","Review")))))</f>
        <v/>
      </c>
      <c r="AM47" s="38">
        <f>IF($A47="","",IF(COUNTIF($A$6:$A$205,$A47)&gt;1,"Duplicate Load ID",IF(COUNTIF('Planner'!$A$6:$A$205,$B47)=0,"Trip ID not found",IF(($G47+$H47)&gt;($K47+$L47),"Check schedule",IF(MIN($N47,$O47,$P47,$Q47,$R47,$S47,$T47,$U47,$V47)&lt;0,"Negative value","OK")))))</f>
        <v/>
      </c>
    </row>
    <row r="48">
      <c r="A48" s="34" t="n"/>
      <c r="B48" s="34" t="n"/>
      <c r="C48" s="34" t="n"/>
      <c r="D48" s="34" t="n"/>
      <c r="E48" s="34" t="n"/>
      <c r="F48" s="34" t="n"/>
      <c r="G48" s="69" t="n"/>
      <c r="H48" s="36" t="n"/>
      <c r="I48" s="34" t="n"/>
      <c r="J48" s="34" t="n"/>
      <c r="K48" s="69" t="n"/>
      <c r="L48" s="36" t="n"/>
      <c r="M48" s="34" t="n"/>
      <c r="N48" s="75" t="n"/>
      <c r="O48" s="37" t="n"/>
      <c r="P48" s="37" t="n"/>
      <c r="Q48" s="37" t="n"/>
      <c r="R48" s="76" t="n"/>
      <c r="S48" s="77" t="n"/>
      <c r="T48" s="77" t="n"/>
      <c r="U48" s="77" t="n"/>
      <c r="V48" s="77" t="n"/>
      <c r="W48" s="34" t="n"/>
      <c r="X48" s="78" t="n"/>
      <c r="Y48" s="46" t="n"/>
      <c r="Z48" s="71">
        <f>IF($A48="","",SUM($S48:$U48))</f>
        <v/>
      </c>
      <c r="AA48" s="72">
        <f>IF($A48="","",IFERROR($Z48/$P48,0))</f>
        <v/>
      </c>
      <c r="AB48" s="41">
        <f>IF($A48="","",SUM($O48:$Q48))</f>
        <v/>
      </c>
      <c r="AC48" s="41">
        <f>IF($A48="","",IFERROR(INDEX('Planner'!$N$6:$N$205,MATCH($B48,'Planner'!$A$6:$A$205,0)),0))</f>
        <v/>
      </c>
      <c r="AD48" s="41">
        <f>IF($A48="","",$AC48-$O48-$Q48)</f>
        <v/>
      </c>
      <c r="AE48" s="41">
        <f>IF($A48="","",$AB48-$AC48)</f>
        <v/>
      </c>
      <c r="AF48" s="73">
        <f>IF($A48="","",IFERROR($AB48/'Settings'!$B$5,0))</f>
        <v/>
      </c>
      <c r="AG48" s="71">
        <f>IF($A48="","",$AF48*'Settings'!$B$4)</f>
        <v/>
      </c>
      <c r="AH48" s="71">
        <f>IF($A48="","",$AE48*'Settings'!$B$17)</f>
        <v/>
      </c>
      <c r="AI48" s="71">
        <f>IF($A48="","",$R48*'Settings'!$B$7)</f>
        <v/>
      </c>
      <c r="AJ48" s="71">
        <f>IF($A48="","",$Z48-$V48-$AH48-$AI48)</f>
        <v/>
      </c>
      <c r="AK48" s="72">
        <f>IF($A48="","",IFERROR($AJ48/$AB48,0))</f>
        <v/>
      </c>
      <c r="AL48" s="38">
        <f>IF($A48="","",IF(OR($C48="Passed",$C48="Expired",$C48="Canceled"),$C48,IF($C48="Completed","Completed",IF(AND($O48&lt;='Settings'!$B$8,$AA48&gt;='Settings'!$B$10,$AJ48&gt;='Settings'!$B$9),IF($C48="Booked","Booked - Meets Targets","Meets Targets"),IF($C48="Booked","Booked - Below Target","Review")))))</f>
        <v/>
      </c>
      <c r="AM48" s="38">
        <f>IF($A48="","",IF(COUNTIF($A$6:$A$205,$A48)&gt;1,"Duplicate Load ID",IF(COUNTIF('Planner'!$A$6:$A$205,$B48)=0,"Trip ID not found",IF(($G48+$H48)&gt;($K48+$L48),"Check schedule",IF(MIN($N48,$O48,$P48,$Q48,$R48,$S48,$T48,$U48,$V48)&lt;0,"Negative value","OK")))))</f>
        <v/>
      </c>
    </row>
    <row r="49">
      <c r="A49" s="34" t="n"/>
      <c r="B49" s="34" t="n"/>
      <c r="C49" s="34" t="n"/>
      <c r="D49" s="34" t="n"/>
      <c r="E49" s="34" t="n"/>
      <c r="F49" s="34" t="n"/>
      <c r="G49" s="69" t="n"/>
      <c r="H49" s="36" t="n"/>
      <c r="I49" s="34" t="n"/>
      <c r="J49" s="34" t="n"/>
      <c r="K49" s="69" t="n"/>
      <c r="L49" s="36" t="n"/>
      <c r="M49" s="34" t="n"/>
      <c r="N49" s="75" t="n"/>
      <c r="O49" s="37" t="n"/>
      <c r="P49" s="37" t="n"/>
      <c r="Q49" s="37" t="n"/>
      <c r="R49" s="76" t="n"/>
      <c r="S49" s="77" t="n"/>
      <c r="T49" s="77" t="n"/>
      <c r="U49" s="77" t="n"/>
      <c r="V49" s="77" t="n"/>
      <c r="W49" s="34" t="n"/>
      <c r="X49" s="78" t="n"/>
      <c r="Y49" s="46" t="n"/>
      <c r="Z49" s="71">
        <f>IF($A49="","",SUM($S49:$U49))</f>
        <v/>
      </c>
      <c r="AA49" s="72">
        <f>IF($A49="","",IFERROR($Z49/$P49,0))</f>
        <v/>
      </c>
      <c r="AB49" s="41">
        <f>IF($A49="","",SUM($O49:$Q49))</f>
        <v/>
      </c>
      <c r="AC49" s="41">
        <f>IF($A49="","",IFERROR(INDEX('Planner'!$N$6:$N$205,MATCH($B49,'Planner'!$A$6:$A$205,0)),0))</f>
        <v/>
      </c>
      <c r="AD49" s="41">
        <f>IF($A49="","",$AC49-$O49-$Q49)</f>
        <v/>
      </c>
      <c r="AE49" s="41">
        <f>IF($A49="","",$AB49-$AC49)</f>
        <v/>
      </c>
      <c r="AF49" s="73">
        <f>IF($A49="","",IFERROR($AB49/'Settings'!$B$5,0))</f>
        <v/>
      </c>
      <c r="AG49" s="71">
        <f>IF($A49="","",$AF49*'Settings'!$B$4)</f>
        <v/>
      </c>
      <c r="AH49" s="71">
        <f>IF($A49="","",$AE49*'Settings'!$B$17)</f>
        <v/>
      </c>
      <c r="AI49" s="71">
        <f>IF($A49="","",$R49*'Settings'!$B$7)</f>
        <v/>
      </c>
      <c r="AJ49" s="71">
        <f>IF($A49="","",$Z49-$V49-$AH49-$AI49)</f>
        <v/>
      </c>
      <c r="AK49" s="72">
        <f>IF($A49="","",IFERROR($AJ49/$AB49,0))</f>
        <v/>
      </c>
      <c r="AL49" s="38">
        <f>IF($A49="","",IF(OR($C49="Passed",$C49="Expired",$C49="Canceled"),$C49,IF($C49="Completed","Completed",IF(AND($O49&lt;='Settings'!$B$8,$AA49&gt;='Settings'!$B$10,$AJ49&gt;='Settings'!$B$9),IF($C49="Booked","Booked - Meets Targets","Meets Targets"),IF($C49="Booked","Booked - Below Target","Review")))))</f>
        <v/>
      </c>
      <c r="AM49" s="38">
        <f>IF($A49="","",IF(COUNTIF($A$6:$A$205,$A49)&gt;1,"Duplicate Load ID",IF(COUNTIF('Planner'!$A$6:$A$205,$B49)=0,"Trip ID not found",IF(($G49+$H49)&gt;($K49+$L49),"Check schedule",IF(MIN($N49,$O49,$P49,$Q49,$R49,$S49,$T49,$U49,$V49)&lt;0,"Negative value","OK")))))</f>
        <v/>
      </c>
    </row>
    <row r="50">
      <c r="A50" s="34" t="n"/>
      <c r="B50" s="34" t="n"/>
      <c r="C50" s="34" t="n"/>
      <c r="D50" s="34" t="n"/>
      <c r="E50" s="34" t="n"/>
      <c r="F50" s="34" t="n"/>
      <c r="G50" s="69" t="n"/>
      <c r="H50" s="36" t="n"/>
      <c r="I50" s="34" t="n"/>
      <c r="J50" s="34" t="n"/>
      <c r="K50" s="69" t="n"/>
      <c r="L50" s="36" t="n"/>
      <c r="M50" s="34" t="n"/>
      <c r="N50" s="75" t="n"/>
      <c r="O50" s="37" t="n"/>
      <c r="P50" s="37" t="n"/>
      <c r="Q50" s="37" t="n"/>
      <c r="R50" s="76" t="n"/>
      <c r="S50" s="77" t="n"/>
      <c r="T50" s="77" t="n"/>
      <c r="U50" s="77" t="n"/>
      <c r="V50" s="77" t="n"/>
      <c r="W50" s="34" t="n"/>
      <c r="X50" s="78" t="n"/>
      <c r="Y50" s="46" t="n"/>
      <c r="Z50" s="71">
        <f>IF($A50="","",SUM($S50:$U50))</f>
        <v/>
      </c>
      <c r="AA50" s="72">
        <f>IF($A50="","",IFERROR($Z50/$P50,0))</f>
        <v/>
      </c>
      <c r="AB50" s="41">
        <f>IF($A50="","",SUM($O50:$Q50))</f>
        <v/>
      </c>
      <c r="AC50" s="41">
        <f>IF($A50="","",IFERROR(INDEX('Planner'!$N$6:$N$205,MATCH($B50,'Planner'!$A$6:$A$205,0)),0))</f>
        <v/>
      </c>
      <c r="AD50" s="41">
        <f>IF($A50="","",$AC50-$O50-$Q50)</f>
        <v/>
      </c>
      <c r="AE50" s="41">
        <f>IF($A50="","",$AB50-$AC50)</f>
        <v/>
      </c>
      <c r="AF50" s="73">
        <f>IF($A50="","",IFERROR($AB50/'Settings'!$B$5,0))</f>
        <v/>
      </c>
      <c r="AG50" s="71">
        <f>IF($A50="","",$AF50*'Settings'!$B$4)</f>
        <v/>
      </c>
      <c r="AH50" s="71">
        <f>IF($A50="","",$AE50*'Settings'!$B$17)</f>
        <v/>
      </c>
      <c r="AI50" s="71">
        <f>IF($A50="","",$R50*'Settings'!$B$7)</f>
        <v/>
      </c>
      <c r="AJ50" s="71">
        <f>IF($A50="","",$Z50-$V50-$AH50-$AI50)</f>
        <v/>
      </c>
      <c r="AK50" s="72">
        <f>IF($A50="","",IFERROR($AJ50/$AB50,0))</f>
        <v/>
      </c>
      <c r="AL50" s="38">
        <f>IF($A50="","",IF(OR($C50="Passed",$C50="Expired",$C50="Canceled"),$C50,IF($C50="Completed","Completed",IF(AND($O50&lt;='Settings'!$B$8,$AA50&gt;='Settings'!$B$10,$AJ50&gt;='Settings'!$B$9),IF($C50="Booked","Booked - Meets Targets","Meets Targets"),IF($C50="Booked","Booked - Below Target","Review")))))</f>
        <v/>
      </c>
      <c r="AM50" s="38">
        <f>IF($A50="","",IF(COUNTIF($A$6:$A$205,$A50)&gt;1,"Duplicate Load ID",IF(COUNTIF('Planner'!$A$6:$A$205,$B50)=0,"Trip ID not found",IF(($G50+$H50)&gt;($K50+$L50),"Check schedule",IF(MIN($N50,$O50,$P50,$Q50,$R50,$S50,$T50,$U50,$V50)&lt;0,"Negative value","OK")))))</f>
        <v/>
      </c>
    </row>
    <row r="51">
      <c r="A51" s="34" t="n"/>
      <c r="B51" s="34" t="n"/>
      <c r="C51" s="34" t="n"/>
      <c r="D51" s="34" t="n"/>
      <c r="E51" s="34" t="n"/>
      <c r="F51" s="34" t="n"/>
      <c r="G51" s="69" t="n"/>
      <c r="H51" s="36" t="n"/>
      <c r="I51" s="34" t="n"/>
      <c r="J51" s="34" t="n"/>
      <c r="K51" s="69" t="n"/>
      <c r="L51" s="36" t="n"/>
      <c r="M51" s="34" t="n"/>
      <c r="N51" s="75" t="n"/>
      <c r="O51" s="37" t="n"/>
      <c r="P51" s="37" t="n"/>
      <c r="Q51" s="37" t="n"/>
      <c r="R51" s="76" t="n"/>
      <c r="S51" s="77" t="n"/>
      <c r="T51" s="77" t="n"/>
      <c r="U51" s="77" t="n"/>
      <c r="V51" s="77" t="n"/>
      <c r="W51" s="34" t="n"/>
      <c r="X51" s="78" t="n"/>
      <c r="Y51" s="46" t="n"/>
      <c r="Z51" s="71">
        <f>IF($A51="","",SUM($S51:$U51))</f>
        <v/>
      </c>
      <c r="AA51" s="72">
        <f>IF($A51="","",IFERROR($Z51/$P51,0))</f>
        <v/>
      </c>
      <c r="AB51" s="41">
        <f>IF($A51="","",SUM($O51:$Q51))</f>
        <v/>
      </c>
      <c r="AC51" s="41">
        <f>IF($A51="","",IFERROR(INDEX('Planner'!$N$6:$N$205,MATCH($B51,'Planner'!$A$6:$A$205,0)),0))</f>
        <v/>
      </c>
      <c r="AD51" s="41">
        <f>IF($A51="","",$AC51-$O51-$Q51)</f>
        <v/>
      </c>
      <c r="AE51" s="41">
        <f>IF($A51="","",$AB51-$AC51)</f>
        <v/>
      </c>
      <c r="AF51" s="73">
        <f>IF($A51="","",IFERROR($AB51/'Settings'!$B$5,0))</f>
        <v/>
      </c>
      <c r="AG51" s="71">
        <f>IF($A51="","",$AF51*'Settings'!$B$4)</f>
        <v/>
      </c>
      <c r="AH51" s="71">
        <f>IF($A51="","",$AE51*'Settings'!$B$17)</f>
        <v/>
      </c>
      <c r="AI51" s="71">
        <f>IF($A51="","",$R51*'Settings'!$B$7)</f>
        <v/>
      </c>
      <c r="AJ51" s="71">
        <f>IF($A51="","",$Z51-$V51-$AH51-$AI51)</f>
        <v/>
      </c>
      <c r="AK51" s="72">
        <f>IF($A51="","",IFERROR($AJ51/$AB51,0))</f>
        <v/>
      </c>
      <c r="AL51" s="38">
        <f>IF($A51="","",IF(OR($C51="Passed",$C51="Expired",$C51="Canceled"),$C51,IF($C51="Completed","Completed",IF(AND($O51&lt;='Settings'!$B$8,$AA51&gt;='Settings'!$B$10,$AJ51&gt;='Settings'!$B$9),IF($C51="Booked","Booked - Meets Targets","Meets Targets"),IF($C51="Booked","Booked - Below Target","Review")))))</f>
        <v/>
      </c>
      <c r="AM51" s="38">
        <f>IF($A51="","",IF(COUNTIF($A$6:$A$205,$A51)&gt;1,"Duplicate Load ID",IF(COUNTIF('Planner'!$A$6:$A$205,$B51)=0,"Trip ID not found",IF(($G51+$H51)&gt;($K51+$L51),"Check schedule",IF(MIN($N51,$O51,$P51,$Q51,$R51,$S51,$T51,$U51,$V51)&lt;0,"Negative value","OK")))))</f>
        <v/>
      </c>
    </row>
    <row r="52">
      <c r="A52" s="34" t="n"/>
      <c r="B52" s="34" t="n"/>
      <c r="C52" s="34" t="n"/>
      <c r="D52" s="34" t="n"/>
      <c r="E52" s="34" t="n"/>
      <c r="F52" s="34" t="n"/>
      <c r="G52" s="69" t="n"/>
      <c r="H52" s="36" t="n"/>
      <c r="I52" s="34" t="n"/>
      <c r="J52" s="34" t="n"/>
      <c r="K52" s="69" t="n"/>
      <c r="L52" s="36" t="n"/>
      <c r="M52" s="34" t="n"/>
      <c r="N52" s="75" t="n"/>
      <c r="O52" s="37" t="n"/>
      <c r="P52" s="37" t="n"/>
      <c r="Q52" s="37" t="n"/>
      <c r="R52" s="76" t="n"/>
      <c r="S52" s="77" t="n"/>
      <c r="T52" s="77" t="n"/>
      <c r="U52" s="77" t="n"/>
      <c r="V52" s="77" t="n"/>
      <c r="W52" s="34" t="n"/>
      <c r="X52" s="78" t="n"/>
      <c r="Y52" s="46" t="n"/>
      <c r="Z52" s="71">
        <f>IF($A52="","",SUM($S52:$U52))</f>
        <v/>
      </c>
      <c r="AA52" s="72">
        <f>IF($A52="","",IFERROR($Z52/$P52,0))</f>
        <v/>
      </c>
      <c r="AB52" s="41">
        <f>IF($A52="","",SUM($O52:$Q52))</f>
        <v/>
      </c>
      <c r="AC52" s="41">
        <f>IF($A52="","",IFERROR(INDEX('Planner'!$N$6:$N$205,MATCH($B52,'Planner'!$A$6:$A$205,0)),0))</f>
        <v/>
      </c>
      <c r="AD52" s="41">
        <f>IF($A52="","",$AC52-$O52-$Q52)</f>
        <v/>
      </c>
      <c r="AE52" s="41">
        <f>IF($A52="","",$AB52-$AC52)</f>
        <v/>
      </c>
      <c r="AF52" s="73">
        <f>IF($A52="","",IFERROR($AB52/'Settings'!$B$5,0))</f>
        <v/>
      </c>
      <c r="AG52" s="71">
        <f>IF($A52="","",$AF52*'Settings'!$B$4)</f>
        <v/>
      </c>
      <c r="AH52" s="71">
        <f>IF($A52="","",$AE52*'Settings'!$B$17)</f>
        <v/>
      </c>
      <c r="AI52" s="71">
        <f>IF($A52="","",$R52*'Settings'!$B$7)</f>
        <v/>
      </c>
      <c r="AJ52" s="71">
        <f>IF($A52="","",$Z52-$V52-$AH52-$AI52)</f>
        <v/>
      </c>
      <c r="AK52" s="72">
        <f>IF($A52="","",IFERROR($AJ52/$AB52,0))</f>
        <v/>
      </c>
      <c r="AL52" s="38">
        <f>IF($A52="","",IF(OR($C52="Passed",$C52="Expired",$C52="Canceled"),$C52,IF($C52="Completed","Completed",IF(AND($O52&lt;='Settings'!$B$8,$AA52&gt;='Settings'!$B$10,$AJ52&gt;='Settings'!$B$9),IF($C52="Booked","Booked - Meets Targets","Meets Targets"),IF($C52="Booked","Booked - Below Target","Review")))))</f>
        <v/>
      </c>
      <c r="AM52" s="38">
        <f>IF($A52="","",IF(COUNTIF($A$6:$A$205,$A52)&gt;1,"Duplicate Load ID",IF(COUNTIF('Planner'!$A$6:$A$205,$B52)=0,"Trip ID not found",IF(($G52+$H52)&gt;($K52+$L52),"Check schedule",IF(MIN($N52,$O52,$P52,$Q52,$R52,$S52,$T52,$U52,$V52)&lt;0,"Negative value","OK")))))</f>
        <v/>
      </c>
    </row>
    <row r="53">
      <c r="A53" s="34" t="n"/>
      <c r="B53" s="34" t="n"/>
      <c r="C53" s="34" t="n"/>
      <c r="D53" s="34" t="n"/>
      <c r="E53" s="34" t="n"/>
      <c r="F53" s="34" t="n"/>
      <c r="G53" s="69" t="n"/>
      <c r="H53" s="36" t="n"/>
      <c r="I53" s="34" t="n"/>
      <c r="J53" s="34" t="n"/>
      <c r="K53" s="69" t="n"/>
      <c r="L53" s="36" t="n"/>
      <c r="M53" s="34" t="n"/>
      <c r="N53" s="75" t="n"/>
      <c r="O53" s="37" t="n"/>
      <c r="P53" s="37" t="n"/>
      <c r="Q53" s="37" t="n"/>
      <c r="R53" s="76" t="n"/>
      <c r="S53" s="77" t="n"/>
      <c r="T53" s="77" t="n"/>
      <c r="U53" s="77" t="n"/>
      <c r="V53" s="77" t="n"/>
      <c r="W53" s="34" t="n"/>
      <c r="X53" s="78" t="n"/>
      <c r="Y53" s="46" t="n"/>
      <c r="Z53" s="71">
        <f>IF($A53="","",SUM($S53:$U53))</f>
        <v/>
      </c>
      <c r="AA53" s="72">
        <f>IF($A53="","",IFERROR($Z53/$P53,0))</f>
        <v/>
      </c>
      <c r="AB53" s="41">
        <f>IF($A53="","",SUM($O53:$Q53))</f>
        <v/>
      </c>
      <c r="AC53" s="41">
        <f>IF($A53="","",IFERROR(INDEX('Planner'!$N$6:$N$205,MATCH($B53,'Planner'!$A$6:$A$205,0)),0))</f>
        <v/>
      </c>
      <c r="AD53" s="41">
        <f>IF($A53="","",$AC53-$O53-$Q53)</f>
        <v/>
      </c>
      <c r="AE53" s="41">
        <f>IF($A53="","",$AB53-$AC53)</f>
        <v/>
      </c>
      <c r="AF53" s="73">
        <f>IF($A53="","",IFERROR($AB53/'Settings'!$B$5,0))</f>
        <v/>
      </c>
      <c r="AG53" s="71">
        <f>IF($A53="","",$AF53*'Settings'!$B$4)</f>
        <v/>
      </c>
      <c r="AH53" s="71">
        <f>IF($A53="","",$AE53*'Settings'!$B$17)</f>
        <v/>
      </c>
      <c r="AI53" s="71">
        <f>IF($A53="","",$R53*'Settings'!$B$7)</f>
        <v/>
      </c>
      <c r="AJ53" s="71">
        <f>IF($A53="","",$Z53-$V53-$AH53-$AI53)</f>
        <v/>
      </c>
      <c r="AK53" s="72">
        <f>IF($A53="","",IFERROR($AJ53/$AB53,0))</f>
        <v/>
      </c>
      <c r="AL53" s="38">
        <f>IF($A53="","",IF(OR($C53="Passed",$C53="Expired",$C53="Canceled"),$C53,IF($C53="Completed","Completed",IF(AND($O53&lt;='Settings'!$B$8,$AA53&gt;='Settings'!$B$10,$AJ53&gt;='Settings'!$B$9),IF($C53="Booked","Booked - Meets Targets","Meets Targets"),IF($C53="Booked","Booked - Below Target","Review")))))</f>
        <v/>
      </c>
      <c r="AM53" s="38">
        <f>IF($A53="","",IF(COUNTIF($A$6:$A$205,$A53)&gt;1,"Duplicate Load ID",IF(COUNTIF('Planner'!$A$6:$A$205,$B53)=0,"Trip ID not found",IF(($G53+$H53)&gt;($K53+$L53),"Check schedule",IF(MIN($N53,$O53,$P53,$Q53,$R53,$S53,$T53,$U53,$V53)&lt;0,"Negative value","OK")))))</f>
        <v/>
      </c>
    </row>
    <row r="54">
      <c r="A54" s="34" t="n"/>
      <c r="B54" s="34" t="n"/>
      <c r="C54" s="34" t="n"/>
      <c r="D54" s="34" t="n"/>
      <c r="E54" s="34" t="n"/>
      <c r="F54" s="34" t="n"/>
      <c r="G54" s="69" t="n"/>
      <c r="H54" s="36" t="n"/>
      <c r="I54" s="34" t="n"/>
      <c r="J54" s="34" t="n"/>
      <c r="K54" s="69" t="n"/>
      <c r="L54" s="36" t="n"/>
      <c r="M54" s="34" t="n"/>
      <c r="N54" s="75" t="n"/>
      <c r="O54" s="37" t="n"/>
      <c r="P54" s="37" t="n"/>
      <c r="Q54" s="37" t="n"/>
      <c r="R54" s="76" t="n"/>
      <c r="S54" s="77" t="n"/>
      <c r="T54" s="77" t="n"/>
      <c r="U54" s="77" t="n"/>
      <c r="V54" s="77" t="n"/>
      <c r="W54" s="34" t="n"/>
      <c r="X54" s="78" t="n"/>
      <c r="Y54" s="46" t="n"/>
      <c r="Z54" s="71">
        <f>IF($A54="","",SUM($S54:$U54))</f>
        <v/>
      </c>
      <c r="AA54" s="72">
        <f>IF($A54="","",IFERROR($Z54/$P54,0))</f>
        <v/>
      </c>
      <c r="AB54" s="41">
        <f>IF($A54="","",SUM($O54:$Q54))</f>
        <v/>
      </c>
      <c r="AC54" s="41">
        <f>IF($A54="","",IFERROR(INDEX('Planner'!$N$6:$N$205,MATCH($B54,'Planner'!$A$6:$A$205,0)),0))</f>
        <v/>
      </c>
      <c r="AD54" s="41">
        <f>IF($A54="","",$AC54-$O54-$Q54)</f>
        <v/>
      </c>
      <c r="AE54" s="41">
        <f>IF($A54="","",$AB54-$AC54)</f>
        <v/>
      </c>
      <c r="AF54" s="73">
        <f>IF($A54="","",IFERROR($AB54/'Settings'!$B$5,0))</f>
        <v/>
      </c>
      <c r="AG54" s="71">
        <f>IF($A54="","",$AF54*'Settings'!$B$4)</f>
        <v/>
      </c>
      <c r="AH54" s="71">
        <f>IF($A54="","",$AE54*'Settings'!$B$17)</f>
        <v/>
      </c>
      <c r="AI54" s="71">
        <f>IF($A54="","",$R54*'Settings'!$B$7)</f>
        <v/>
      </c>
      <c r="AJ54" s="71">
        <f>IF($A54="","",$Z54-$V54-$AH54-$AI54)</f>
        <v/>
      </c>
      <c r="AK54" s="72">
        <f>IF($A54="","",IFERROR($AJ54/$AB54,0))</f>
        <v/>
      </c>
      <c r="AL54" s="38">
        <f>IF($A54="","",IF(OR($C54="Passed",$C54="Expired",$C54="Canceled"),$C54,IF($C54="Completed","Completed",IF(AND($O54&lt;='Settings'!$B$8,$AA54&gt;='Settings'!$B$10,$AJ54&gt;='Settings'!$B$9),IF($C54="Booked","Booked - Meets Targets","Meets Targets"),IF($C54="Booked","Booked - Below Target","Review")))))</f>
        <v/>
      </c>
      <c r="AM54" s="38">
        <f>IF($A54="","",IF(COUNTIF($A$6:$A$205,$A54)&gt;1,"Duplicate Load ID",IF(COUNTIF('Planner'!$A$6:$A$205,$B54)=0,"Trip ID not found",IF(($G54+$H54)&gt;($K54+$L54),"Check schedule",IF(MIN($N54,$O54,$P54,$Q54,$R54,$S54,$T54,$U54,$V54)&lt;0,"Negative value","OK")))))</f>
        <v/>
      </c>
    </row>
    <row r="55">
      <c r="A55" s="34" t="n"/>
      <c r="B55" s="34" t="n"/>
      <c r="C55" s="34" t="n"/>
      <c r="D55" s="34" t="n"/>
      <c r="E55" s="34" t="n"/>
      <c r="F55" s="34" t="n"/>
      <c r="G55" s="69" t="n"/>
      <c r="H55" s="36" t="n"/>
      <c r="I55" s="34" t="n"/>
      <c r="J55" s="34" t="n"/>
      <c r="K55" s="69" t="n"/>
      <c r="L55" s="36" t="n"/>
      <c r="M55" s="34" t="n"/>
      <c r="N55" s="75" t="n"/>
      <c r="O55" s="37" t="n"/>
      <c r="P55" s="37" t="n"/>
      <c r="Q55" s="37" t="n"/>
      <c r="R55" s="76" t="n"/>
      <c r="S55" s="77" t="n"/>
      <c r="T55" s="77" t="n"/>
      <c r="U55" s="77" t="n"/>
      <c r="V55" s="77" t="n"/>
      <c r="W55" s="34" t="n"/>
      <c r="X55" s="78" t="n"/>
      <c r="Y55" s="46" t="n"/>
      <c r="Z55" s="71">
        <f>IF($A55="","",SUM($S55:$U55))</f>
        <v/>
      </c>
      <c r="AA55" s="72">
        <f>IF($A55="","",IFERROR($Z55/$P55,0))</f>
        <v/>
      </c>
      <c r="AB55" s="41">
        <f>IF($A55="","",SUM($O55:$Q55))</f>
        <v/>
      </c>
      <c r="AC55" s="41">
        <f>IF($A55="","",IFERROR(INDEX('Planner'!$N$6:$N$205,MATCH($B55,'Planner'!$A$6:$A$205,0)),0))</f>
        <v/>
      </c>
      <c r="AD55" s="41">
        <f>IF($A55="","",$AC55-$O55-$Q55)</f>
        <v/>
      </c>
      <c r="AE55" s="41">
        <f>IF($A55="","",$AB55-$AC55)</f>
        <v/>
      </c>
      <c r="AF55" s="73">
        <f>IF($A55="","",IFERROR($AB55/'Settings'!$B$5,0))</f>
        <v/>
      </c>
      <c r="AG55" s="71">
        <f>IF($A55="","",$AF55*'Settings'!$B$4)</f>
        <v/>
      </c>
      <c r="AH55" s="71">
        <f>IF($A55="","",$AE55*'Settings'!$B$17)</f>
        <v/>
      </c>
      <c r="AI55" s="71">
        <f>IF($A55="","",$R55*'Settings'!$B$7)</f>
        <v/>
      </c>
      <c r="AJ55" s="71">
        <f>IF($A55="","",$Z55-$V55-$AH55-$AI55)</f>
        <v/>
      </c>
      <c r="AK55" s="72">
        <f>IF($A55="","",IFERROR($AJ55/$AB55,0))</f>
        <v/>
      </c>
      <c r="AL55" s="38">
        <f>IF($A55="","",IF(OR($C55="Passed",$C55="Expired",$C55="Canceled"),$C55,IF($C55="Completed","Completed",IF(AND($O55&lt;='Settings'!$B$8,$AA55&gt;='Settings'!$B$10,$AJ55&gt;='Settings'!$B$9),IF($C55="Booked","Booked - Meets Targets","Meets Targets"),IF($C55="Booked","Booked - Below Target","Review")))))</f>
        <v/>
      </c>
      <c r="AM55" s="38">
        <f>IF($A55="","",IF(COUNTIF($A$6:$A$205,$A55)&gt;1,"Duplicate Load ID",IF(COUNTIF('Planner'!$A$6:$A$205,$B55)=0,"Trip ID not found",IF(($G55+$H55)&gt;($K55+$L55),"Check schedule",IF(MIN($N55,$O55,$P55,$Q55,$R55,$S55,$T55,$U55,$V55)&lt;0,"Negative value","OK")))))</f>
        <v/>
      </c>
    </row>
    <row r="56">
      <c r="A56" s="34" t="n"/>
      <c r="B56" s="34" t="n"/>
      <c r="C56" s="34" t="n"/>
      <c r="D56" s="34" t="n"/>
      <c r="E56" s="34" t="n"/>
      <c r="F56" s="34" t="n"/>
      <c r="G56" s="69" t="n"/>
      <c r="H56" s="36" t="n"/>
      <c r="I56" s="34" t="n"/>
      <c r="J56" s="34" t="n"/>
      <c r="K56" s="69" t="n"/>
      <c r="L56" s="36" t="n"/>
      <c r="M56" s="34" t="n"/>
      <c r="N56" s="75" t="n"/>
      <c r="O56" s="37" t="n"/>
      <c r="P56" s="37" t="n"/>
      <c r="Q56" s="37" t="n"/>
      <c r="R56" s="76" t="n"/>
      <c r="S56" s="77" t="n"/>
      <c r="T56" s="77" t="n"/>
      <c r="U56" s="77" t="n"/>
      <c r="V56" s="77" t="n"/>
      <c r="W56" s="34" t="n"/>
      <c r="X56" s="78" t="n"/>
      <c r="Y56" s="46" t="n"/>
      <c r="Z56" s="71">
        <f>IF($A56="","",SUM($S56:$U56))</f>
        <v/>
      </c>
      <c r="AA56" s="72">
        <f>IF($A56="","",IFERROR($Z56/$P56,0))</f>
        <v/>
      </c>
      <c r="AB56" s="41">
        <f>IF($A56="","",SUM($O56:$Q56))</f>
        <v/>
      </c>
      <c r="AC56" s="41">
        <f>IF($A56="","",IFERROR(INDEX('Planner'!$N$6:$N$205,MATCH($B56,'Planner'!$A$6:$A$205,0)),0))</f>
        <v/>
      </c>
      <c r="AD56" s="41">
        <f>IF($A56="","",$AC56-$O56-$Q56)</f>
        <v/>
      </c>
      <c r="AE56" s="41">
        <f>IF($A56="","",$AB56-$AC56)</f>
        <v/>
      </c>
      <c r="AF56" s="73">
        <f>IF($A56="","",IFERROR($AB56/'Settings'!$B$5,0))</f>
        <v/>
      </c>
      <c r="AG56" s="71">
        <f>IF($A56="","",$AF56*'Settings'!$B$4)</f>
        <v/>
      </c>
      <c r="AH56" s="71">
        <f>IF($A56="","",$AE56*'Settings'!$B$17)</f>
        <v/>
      </c>
      <c r="AI56" s="71">
        <f>IF($A56="","",$R56*'Settings'!$B$7)</f>
        <v/>
      </c>
      <c r="AJ56" s="71">
        <f>IF($A56="","",$Z56-$V56-$AH56-$AI56)</f>
        <v/>
      </c>
      <c r="AK56" s="72">
        <f>IF($A56="","",IFERROR($AJ56/$AB56,0))</f>
        <v/>
      </c>
      <c r="AL56" s="38">
        <f>IF($A56="","",IF(OR($C56="Passed",$C56="Expired",$C56="Canceled"),$C56,IF($C56="Completed","Completed",IF(AND($O56&lt;='Settings'!$B$8,$AA56&gt;='Settings'!$B$10,$AJ56&gt;='Settings'!$B$9),IF($C56="Booked","Booked - Meets Targets","Meets Targets"),IF($C56="Booked","Booked - Below Target","Review")))))</f>
        <v/>
      </c>
      <c r="AM56" s="38">
        <f>IF($A56="","",IF(COUNTIF($A$6:$A$205,$A56)&gt;1,"Duplicate Load ID",IF(COUNTIF('Planner'!$A$6:$A$205,$B56)=0,"Trip ID not found",IF(($G56+$H56)&gt;($K56+$L56),"Check schedule",IF(MIN($N56,$O56,$P56,$Q56,$R56,$S56,$T56,$U56,$V56)&lt;0,"Negative value","OK")))))</f>
        <v/>
      </c>
    </row>
    <row r="57">
      <c r="A57" s="34" t="n"/>
      <c r="B57" s="34" t="n"/>
      <c r="C57" s="34" t="n"/>
      <c r="D57" s="34" t="n"/>
      <c r="E57" s="34" t="n"/>
      <c r="F57" s="34" t="n"/>
      <c r="G57" s="69" t="n"/>
      <c r="H57" s="36" t="n"/>
      <c r="I57" s="34" t="n"/>
      <c r="J57" s="34" t="n"/>
      <c r="K57" s="69" t="n"/>
      <c r="L57" s="36" t="n"/>
      <c r="M57" s="34" t="n"/>
      <c r="N57" s="75" t="n"/>
      <c r="O57" s="37" t="n"/>
      <c r="P57" s="37" t="n"/>
      <c r="Q57" s="37" t="n"/>
      <c r="R57" s="76" t="n"/>
      <c r="S57" s="77" t="n"/>
      <c r="T57" s="77" t="n"/>
      <c r="U57" s="77" t="n"/>
      <c r="V57" s="77" t="n"/>
      <c r="W57" s="34" t="n"/>
      <c r="X57" s="78" t="n"/>
      <c r="Y57" s="46" t="n"/>
      <c r="Z57" s="71">
        <f>IF($A57="","",SUM($S57:$U57))</f>
        <v/>
      </c>
      <c r="AA57" s="72">
        <f>IF($A57="","",IFERROR($Z57/$P57,0))</f>
        <v/>
      </c>
      <c r="AB57" s="41">
        <f>IF($A57="","",SUM($O57:$Q57))</f>
        <v/>
      </c>
      <c r="AC57" s="41">
        <f>IF($A57="","",IFERROR(INDEX('Planner'!$N$6:$N$205,MATCH($B57,'Planner'!$A$6:$A$205,0)),0))</f>
        <v/>
      </c>
      <c r="AD57" s="41">
        <f>IF($A57="","",$AC57-$O57-$Q57)</f>
        <v/>
      </c>
      <c r="AE57" s="41">
        <f>IF($A57="","",$AB57-$AC57)</f>
        <v/>
      </c>
      <c r="AF57" s="73">
        <f>IF($A57="","",IFERROR($AB57/'Settings'!$B$5,0))</f>
        <v/>
      </c>
      <c r="AG57" s="71">
        <f>IF($A57="","",$AF57*'Settings'!$B$4)</f>
        <v/>
      </c>
      <c r="AH57" s="71">
        <f>IF($A57="","",$AE57*'Settings'!$B$17)</f>
        <v/>
      </c>
      <c r="AI57" s="71">
        <f>IF($A57="","",$R57*'Settings'!$B$7)</f>
        <v/>
      </c>
      <c r="AJ57" s="71">
        <f>IF($A57="","",$Z57-$V57-$AH57-$AI57)</f>
        <v/>
      </c>
      <c r="AK57" s="72">
        <f>IF($A57="","",IFERROR($AJ57/$AB57,0))</f>
        <v/>
      </c>
      <c r="AL57" s="38">
        <f>IF($A57="","",IF(OR($C57="Passed",$C57="Expired",$C57="Canceled"),$C57,IF($C57="Completed","Completed",IF(AND($O57&lt;='Settings'!$B$8,$AA57&gt;='Settings'!$B$10,$AJ57&gt;='Settings'!$B$9),IF($C57="Booked","Booked - Meets Targets","Meets Targets"),IF($C57="Booked","Booked - Below Target","Review")))))</f>
        <v/>
      </c>
      <c r="AM57" s="38">
        <f>IF($A57="","",IF(COUNTIF($A$6:$A$205,$A57)&gt;1,"Duplicate Load ID",IF(COUNTIF('Planner'!$A$6:$A$205,$B57)=0,"Trip ID not found",IF(($G57+$H57)&gt;($K57+$L57),"Check schedule",IF(MIN($N57,$O57,$P57,$Q57,$R57,$S57,$T57,$U57,$V57)&lt;0,"Negative value","OK")))))</f>
        <v/>
      </c>
    </row>
    <row r="58">
      <c r="A58" s="34" t="n"/>
      <c r="B58" s="34" t="n"/>
      <c r="C58" s="34" t="n"/>
      <c r="D58" s="34" t="n"/>
      <c r="E58" s="34" t="n"/>
      <c r="F58" s="34" t="n"/>
      <c r="G58" s="69" t="n"/>
      <c r="H58" s="36" t="n"/>
      <c r="I58" s="34" t="n"/>
      <c r="J58" s="34" t="n"/>
      <c r="K58" s="69" t="n"/>
      <c r="L58" s="36" t="n"/>
      <c r="M58" s="34" t="n"/>
      <c r="N58" s="75" t="n"/>
      <c r="O58" s="37" t="n"/>
      <c r="P58" s="37" t="n"/>
      <c r="Q58" s="37" t="n"/>
      <c r="R58" s="76" t="n"/>
      <c r="S58" s="77" t="n"/>
      <c r="T58" s="77" t="n"/>
      <c r="U58" s="77" t="n"/>
      <c r="V58" s="77" t="n"/>
      <c r="W58" s="34" t="n"/>
      <c r="X58" s="78" t="n"/>
      <c r="Y58" s="46" t="n"/>
      <c r="Z58" s="71">
        <f>IF($A58="","",SUM($S58:$U58))</f>
        <v/>
      </c>
      <c r="AA58" s="72">
        <f>IF($A58="","",IFERROR($Z58/$P58,0))</f>
        <v/>
      </c>
      <c r="AB58" s="41">
        <f>IF($A58="","",SUM($O58:$Q58))</f>
        <v/>
      </c>
      <c r="AC58" s="41">
        <f>IF($A58="","",IFERROR(INDEX('Planner'!$N$6:$N$205,MATCH($B58,'Planner'!$A$6:$A$205,0)),0))</f>
        <v/>
      </c>
      <c r="AD58" s="41">
        <f>IF($A58="","",$AC58-$O58-$Q58)</f>
        <v/>
      </c>
      <c r="AE58" s="41">
        <f>IF($A58="","",$AB58-$AC58)</f>
        <v/>
      </c>
      <c r="AF58" s="73">
        <f>IF($A58="","",IFERROR($AB58/'Settings'!$B$5,0))</f>
        <v/>
      </c>
      <c r="AG58" s="71">
        <f>IF($A58="","",$AF58*'Settings'!$B$4)</f>
        <v/>
      </c>
      <c r="AH58" s="71">
        <f>IF($A58="","",$AE58*'Settings'!$B$17)</f>
        <v/>
      </c>
      <c r="AI58" s="71">
        <f>IF($A58="","",$R58*'Settings'!$B$7)</f>
        <v/>
      </c>
      <c r="AJ58" s="71">
        <f>IF($A58="","",$Z58-$V58-$AH58-$AI58)</f>
        <v/>
      </c>
      <c r="AK58" s="72">
        <f>IF($A58="","",IFERROR($AJ58/$AB58,0))</f>
        <v/>
      </c>
      <c r="AL58" s="38">
        <f>IF($A58="","",IF(OR($C58="Passed",$C58="Expired",$C58="Canceled"),$C58,IF($C58="Completed","Completed",IF(AND($O58&lt;='Settings'!$B$8,$AA58&gt;='Settings'!$B$10,$AJ58&gt;='Settings'!$B$9),IF($C58="Booked","Booked - Meets Targets","Meets Targets"),IF($C58="Booked","Booked - Below Target","Review")))))</f>
        <v/>
      </c>
      <c r="AM58" s="38">
        <f>IF($A58="","",IF(COUNTIF($A$6:$A$205,$A58)&gt;1,"Duplicate Load ID",IF(COUNTIF('Planner'!$A$6:$A$205,$B58)=0,"Trip ID not found",IF(($G58+$H58)&gt;($K58+$L58),"Check schedule",IF(MIN($N58,$O58,$P58,$Q58,$R58,$S58,$T58,$U58,$V58)&lt;0,"Negative value","OK")))))</f>
        <v/>
      </c>
    </row>
    <row r="59">
      <c r="A59" s="34" t="n"/>
      <c r="B59" s="34" t="n"/>
      <c r="C59" s="34" t="n"/>
      <c r="D59" s="34" t="n"/>
      <c r="E59" s="34" t="n"/>
      <c r="F59" s="34" t="n"/>
      <c r="G59" s="69" t="n"/>
      <c r="H59" s="36" t="n"/>
      <c r="I59" s="34" t="n"/>
      <c r="J59" s="34" t="n"/>
      <c r="K59" s="69" t="n"/>
      <c r="L59" s="36" t="n"/>
      <c r="M59" s="34" t="n"/>
      <c r="N59" s="75" t="n"/>
      <c r="O59" s="37" t="n"/>
      <c r="P59" s="37" t="n"/>
      <c r="Q59" s="37" t="n"/>
      <c r="R59" s="76" t="n"/>
      <c r="S59" s="77" t="n"/>
      <c r="T59" s="77" t="n"/>
      <c r="U59" s="77" t="n"/>
      <c r="V59" s="77" t="n"/>
      <c r="W59" s="34" t="n"/>
      <c r="X59" s="78" t="n"/>
      <c r="Y59" s="46" t="n"/>
      <c r="Z59" s="71">
        <f>IF($A59="","",SUM($S59:$U59))</f>
        <v/>
      </c>
      <c r="AA59" s="72">
        <f>IF($A59="","",IFERROR($Z59/$P59,0))</f>
        <v/>
      </c>
      <c r="AB59" s="41">
        <f>IF($A59="","",SUM($O59:$Q59))</f>
        <v/>
      </c>
      <c r="AC59" s="41">
        <f>IF($A59="","",IFERROR(INDEX('Planner'!$N$6:$N$205,MATCH($B59,'Planner'!$A$6:$A$205,0)),0))</f>
        <v/>
      </c>
      <c r="AD59" s="41">
        <f>IF($A59="","",$AC59-$O59-$Q59)</f>
        <v/>
      </c>
      <c r="AE59" s="41">
        <f>IF($A59="","",$AB59-$AC59)</f>
        <v/>
      </c>
      <c r="AF59" s="73">
        <f>IF($A59="","",IFERROR($AB59/'Settings'!$B$5,0))</f>
        <v/>
      </c>
      <c r="AG59" s="71">
        <f>IF($A59="","",$AF59*'Settings'!$B$4)</f>
        <v/>
      </c>
      <c r="AH59" s="71">
        <f>IF($A59="","",$AE59*'Settings'!$B$17)</f>
        <v/>
      </c>
      <c r="AI59" s="71">
        <f>IF($A59="","",$R59*'Settings'!$B$7)</f>
        <v/>
      </c>
      <c r="AJ59" s="71">
        <f>IF($A59="","",$Z59-$V59-$AH59-$AI59)</f>
        <v/>
      </c>
      <c r="AK59" s="72">
        <f>IF($A59="","",IFERROR($AJ59/$AB59,0))</f>
        <v/>
      </c>
      <c r="AL59" s="38">
        <f>IF($A59="","",IF(OR($C59="Passed",$C59="Expired",$C59="Canceled"),$C59,IF($C59="Completed","Completed",IF(AND($O59&lt;='Settings'!$B$8,$AA59&gt;='Settings'!$B$10,$AJ59&gt;='Settings'!$B$9),IF($C59="Booked","Booked - Meets Targets","Meets Targets"),IF($C59="Booked","Booked - Below Target","Review")))))</f>
        <v/>
      </c>
      <c r="AM59" s="38">
        <f>IF($A59="","",IF(COUNTIF($A$6:$A$205,$A59)&gt;1,"Duplicate Load ID",IF(COUNTIF('Planner'!$A$6:$A$205,$B59)=0,"Trip ID not found",IF(($G59+$H59)&gt;($K59+$L59),"Check schedule",IF(MIN($N59,$O59,$P59,$Q59,$R59,$S59,$T59,$U59,$V59)&lt;0,"Negative value","OK")))))</f>
        <v/>
      </c>
    </row>
    <row r="60">
      <c r="A60" s="34" t="n"/>
      <c r="B60" s="34" t="n"/>
      <c r="C60" s="34" t="n"/>
      <c r="D60" s="34" t="n"/>
      <c r="E60" s="34" t="n"/>
      <c r="F60" s="34" t="n"/>
      <c r="G60" s="69" t="n"/>
      <c r="H60" s="36" t="n"/>
      <c r="I60" s="34" t="n"/>
      <c r="J60" s="34" t="n"/>
      <c r="K60" s="69" t="n"/>
      <c r="L60" s="36" t="n"/>
      <c r="M60" s="34" t="n"/>
      <c r="N60" s="75" t="n"/>
      <c r="O60" s="37" t="n"/>
      <c r="P60" s="37" t="n"/>
      <c r="Q60" s="37" t="n"/>
      <c r="R60" s="76" t="n"/>
      <c r="S60" s="77" t="n"/>
      <c r="T60" s="77" t="n"/>
      <c r="U60" s="77" t="n"/>
      <c r="V60" s="77" t="n"/>
      <c r="W60" s="34" t="n"/>
      <c r="X60" s="78" t="n"/>
      <c r="Y60" s="46" t="n"/>
      <c r="Z60" s="71">
        <f>IF($A60="","",SUM($S60:$U60))</f>
        <v/>
      </c>
      <c r="AA60" s="72">
        <f>IF($A60="","",IFERROR($Z60/$P60,0))</f>
        <v/>
      </c>
      <c r="AB60" s="41">
        <f>IF($A60="","",SUM($O60:$Q60))</f>
        <v/>
      </c>
      <c r="AC60" s="41">
        <f>IF($A60="","",IFERROR(INDEX('Planner'!$N$6:$N$205,MATCH($B60,'Planner'!$A$6:$A$205,0)),0))</f>
        <v/>
      </c>
      <c r="AD60" s="41">
        <f>IF($A60="","",$AC60-$O60-$Q60)</f>
        <v/>
      </c>
      <c r="AE60" s="41">
        <f>IF($A60="","",$AB60-$AC60)</f>
        <v/>
      </c>
      <c r="AF60" s="73">
        <f>IF($A60="","",IFERROR($AB60/'Settings'!$B$5,0))</f>
        <v/>
      </c>
      <c r="AG60" s="71">
        <f>IF($A60="","",$AF60*'Settings'!$B$4)</f>
        <v/>
      </c>
      <c r="AH60" s="71">
        <f>IF($A60="","",$AE60*'Settings'!$B$17)</f>
        <v/>
      </c>
      <c r="AI60" s="71">
        <f>IF($A60="","",$R60*'Settings'!$B$7)</f>
        <v/>
      </c>
      <c r="AJ60" s="71">
        <f>IF($A60="","",$Z60-$V60-$AH60-$AI60)</f>
        <v/>
      </c>
      <c r="AK60" s="72">
        <f>IF($A60="","",IFERROR($AJ60/$AB60,0))</f>
        <v/>
      </c>
      <c r="AL60" s="38">
        <f>IF($A60="","",IF(OR($C60="Passed",$C60="Expired",$C60="Canceled"),$C60,IF($C60="Completed","Completed",IF(AND($O60&lt;='Settings'!$B$8,$AA60&gt;='Settings'!$B$10,$AJ60&gt;='Settings'!$B$9),IF($C60="Booked","Booked - Meets Targets","Meets Targets"),IF($C60="Booked","Booked - Below Target","Review")))))</f>
        <v/>
      </c>
      <c r="AM60" s="38">
        <f>IF($A60="","",IF(COUNTIF($A$6:$A$205,$A60)&gt;1,"Duplicate Load ID",IF(COUNTIF('Planner'!$A$6:$A$205,$B60)=0,"Trip ID not found",IF(($G60+$H60)&gt;($K60+$L60),"Check schedule",IF(MIN($N60,$O60,$P60,$Q60,$R60,$S60,$T60,$U60,$V60)&lt;0,"Negative value","OK")))))</f>
        <v/>
      </c>
    </row>
    <row r="61">
      <c r="A61" s="34" t="n"/>
      <c r="B61" s="34" t="n"/>
      <c r="C61" s="34" t="n"/>
      <c r="D61" s="34" t="n"/>
      <c r="E61" s="34" t="n"/>
      <c r="F61" s="34" t="n"/>
      <c r="G61" s="69" t="n"/>
      <c r="H61" s="36" t="n"/>
      <c r="I61" s="34" t="n"/>
      <c r="J61" s="34" t="n"/>
      <c r="K61" s="69" t="n"/>
      <c r="L61" s="36" t="n"/>
      <c r="M61" s="34" t="n"/>
      <c r="N61" s="75" t="n"/>
      <c r="O61" s="37" t="n"/>
      <c r="P61" s="37" t="n"/>
      <c r="Q61" s="37" t="n"/>
      <c r="R61" s="76" t="n"/>
      <c r="S61" s="77" t="n"/>
      <c r="T61" s="77" t="n"/>
      <c r="U61" s="77" t="n"/>
      <c r="V61" s="77" t="n"/>
      <c r="W61" s="34" t="n"/>
      <c r="X61" s="78" t="n"/>
      <c r="Y61" s="46" t="n"/>
      <c r="Z61" s="71">
        <f>IF($A61="","",SUM($S61:$U61))</f>
        <v/>
      </c>
      <c r="AA61" s="72">
        <f>IF($A61="","",IFERROR($Z61/$P61,0))</f>
        <v/>
      </c>
      <c r="AB61" s="41">
        <f>IF($A61="","",SUM($O61:$Q61))</f>
        <v/>
      </c>
      <c r="AC61" s="41">
        <f>IF($A61="","",IFERROR(INDEX('Planner'!$N$6:$N$205,MATCH($B61,'Planner'!$A$6:$A$205,0)),0))</f>
        <v/>
      </c>
      <c r="AD61" s="41">
        <f>IF($A61="","",$AC61-$O61-$Q61)</f>
        <v/>
      </c>
      <c r="AE61" s="41">
        <f>IF($A61="","",$AB61-$AC61)</f>
        <v/>
      </c>
      <c r="AF61" s="73">
        <f>IF($A61="","",IFERROR($AB61/'Settings'!$B$5,0))</f>
        <v/>
      </c>
      <c r="AG61" s="71">
        <f>IF($A61="","",$AF61*'Settings'!$B$4)</f>
        <v/>
      </c>
      <c r="AH61" s="71">
        <f>IF($A61="","",$AE61*'Settings'!$B$17)</f>
        <v/>
      </c>
      <c r="AI61" s="71">
        <f>IF($A61="","",$R61*'Settings'!$B$7)</f>
        <v/>
      </c>
      <c r="AJ61" s="71">
        <f>IF($A61="","",$Z61-$V61-$AH61-$AI61)</f>
        <v/>
      </c>
      <c r="AK61" s="72">
        <f>IF($A61="","",IFERROR($AJ61/$AB61,0))</f>
        <v/>
      </c>
      <c r="AL61" s="38">
        <f>IF($A61="","",IF(OR($C61="Passed",$C61="Expired",$C61="Canceled"),$C61,IF($C61="Completed","Completed",IF(AND($O61&lt;='Settings'!$B$8,$AA61&gt;='Settings'!$B$10,$AJ61&gt;='Settings'!$B$9),IF($C61="Booked","Booked - Meets Targets","Meets Targets"),IF($C61="Booked","Booked - Below Target","Review")))))</f>
        <v/>
      </c>
      <c r="AM61" s="38">
        <f>IF($A61="","",IF(COUNTIF($A$6:$A$205,$A61)&gt;1,"Duplicate Load ID",IF(COUNTIF('Planner'!$A$6:$A$205,$B61)=0,"Trip ID not found",IF(($G61+$H61)&gt;($K61+$L61),"Check schedule",IF(MIN($N61,$O61,$P61,$Q61,$R61,$S61,$T61,$U61,$V61)&lt;0,"Negative value","OK")))))</f>
        <v/>
      </c>
    </row>
    <row r="62">
      <c r="A62" s="34" t="n"/>
      <c r="B62" s="34" t="n"/>
      <c r="C62" s="34" t="n"/>
      <c r="D62" s="34" t="n"/>
      <c r="E62" s="34" t="n"/>
      <c r="F62" s="34" t="n"/>
      <c r="G62" s="69" t="n"/>
      <c r="H62" s="36" t="n"/>
      <c r="I62" s="34" t="n"/>
      <c r="J62" s="34" t="n"/>
      <c r="K62" s="69" t="n"/>
      <c r="L62" s="36" t="n"/>
      <c r="M62" s="34" t="n"/>
      <c r="N62" s="75" t="n"/>
      <c r="O62" s="37" t="n"/>
      <c r="P62" s="37" t="n"/>
      <c r="Q62" s="37" t="n"/>
      <c r="R62" s="76" t="n"/>
      <c r="S62" s="77" t="n"/>
      <c r="T62" s="77" t="n"/>
      <c r="U62" s="77" t="n"/>
      <c r="V62" s="77" t="n"/>
      <c r="W62" s="34" t="n"/>
      <c r="X62" s="78" t="n"/>
      <c r="Y62" s="46" t="n"/>
      <c r="Z62" s="71">
        <f>IF($A62="","",SUM($S62:$U62))</f>
        <v/>
      </c>
      <c r="AA62" s="72">
        <f>IF($A62="","",IFERROR($Z62/$P62,0))</f>
        <v/>
      </c>
      <c r="AB62" s="41">
        <f>IF($A62="","",SUM($O62:$Q62))</f>
        <v/>
      </c>
      <c r="AC62" s="41">
        <f>IF($A62="","",IFERROR(INDEX('Planner'!$N$6:$N$205,MATCH($B62,'Planner'!$A$6:$A$205,0)),0))</f>
        <v/>
      </c>
      <c r="AD62" s="41">
        <f>IF($A62="","",$AC62-$O62-$Q62)</f>
        <v/>
      </c>
      <c r="AE62" s="41">
        <f>IF($A62="","",$AB62-$AC62)</f>
        <v/>
      </c>
      <c r="AF62" s="73">
        <f>IF($A62="","",IFERROR($AB62/'Settings'!$B$5,0))</f>
        <v/>
      </c>
      <c r="AG62" s="71">
        <f>IF($A62="","",$AF62*'Settings'!$B$4)</f>
        <v/>
      </c>
      <c r="AH62" s="71">
        <f>IF($A62="","",$AE62*'Settings'!$B$17)</f>
        <v/>
      </c>
      <c r="AI62" s="71">
        <f>IF($A62="","",$R62*'Settings'!$B$7)</f>
        <v/>
      </c>
      <c r="AJ62" s="71">
        <f>IF($A62="","",$Z62-$V62-$AH62-$AI62)</f>
        <v/>
      </c>
      <c r="AK62" s="72">
        <f>IF($A62="","",IFERROR($AJ62/$AB62,0))</f>
        <v/>
      </c>
      <c r="AL62" s="38">
        <f>IF($A62="","",IF(OR($C62="Passed",$C62="Expired",$C62="Canceled"),$C62,IF($C62="Completed","Completed",IF(AND($O62&lt;='Settings'!$B$8,$AA62&gt;='Settings'!$B$10,$AJ62&gt;='Settings'!$B$9),IF($C62="Booked","Booked - Meets Targets","Meets Targets"),IF($C62="Booked","Booked - Below Target","Review")))))</f>
        <v/>
      </c>
      <c r="AM62" s="38">
        <f>IF($A62="","",IF(COUNTIF($A$6:$A$205,$A62)&gt;1,"Duplicate Load ID",IF(COUNTIF('Planner'!$A$6:$A$205,$B62)=0,"Trip ID not found",IF(($G62+$H62)&gt;($K62+$L62),"Check schedule",IF(MIN($N62,$O62,$P62,$Q62,$R62,$S62,$T62,$U62,$V62)&lt;0,"Negative value","OK")))))</f>
        <v/>
      </c>
    </row>
    <row r="63">
      <c r="A63" s="34" t="n"/>
      <c r="B63" s="34" t="n"/>
      <c r="C63" s="34" t="n"/>
      <c r="D63" s="34" t="n"/>
      <c r="E63" s="34" t="n"/>
      <c r="F63" s="34" t="n"/>
      <c r="G63" s="69" t="n"/>
      <c r="H63" s="36" t="n"/>
      <c r="I63" s="34" t="n"/>
      <c r="J63" s="34" t="n"/>
      <c r="K63" s="69" t="n"/>
      <c r="L63" s="36" t="n"/>
      <c r="M63" s="34" t="n"/>
      <c r="N63" s="75" t="n"/>
      <c r="O63" s="37" t="n"/>
      <c r="P63" s="37" t="n"/>
      <c r="Q63" s="37" t="n"/>
      <c r="R63" s="76" t="n"/>
      <c r="S63" s="77" t="n"/>
      <c r="T63" s="77" t="n"/>
      <c r="U63" s="77" t="n"/>
      <c r="V63" s="77" t="n"/>
      <c r="W63" s="34" t="n"/>
      <c r="X63" s="78" t="n"/>
      <c r="Y63" s="46" t="n"/>
      <c r="Z63" s="71">
        <f>IF($A63="","",SUM($S63:$U63))</f>
        <v/>
      </c>
      <c r="AA63" s="72">
        <f>IF($A63="","",IFERROR($Z63/$P63,0))</f>
        <v/>
      </c>
      <c r="AB63" s="41">
        <f>IF($A63="","",SUM($O63:$Q63))</f>
        <v/>
      </c>
      <c r="AC63" s="41">
        <f>IF($A63="","",IFERROR(INDEX('Planner'!$N$6:$N$205,MATCH($B63,'Planner'!$A$6:$A$205,0)),0))</f>
        <v/>
      </c>
      <c r="AD63" s="41">
        <f>IF($A63="","",$AC63-$O63-$Q63)</f>
        <v/>
      </c>
      <c r="AE63" s="41">
        <f>IF($A63="","",$AB63-$AC63)</f>
        <v/>
      </c>
      <c r="AF63" s="73">
        <f>IF($A63="","",IFERROR($AB63/'Settings'!$B$5,0))</f>
        <v/>
      </c>
      <c r="AG63" s="71">
        <f>IF($A63="","",$AF63*'Settings'!$B$4)</f>
        <v/>
      </c>
      <c r="AH63" s="71">
        <f>IF($A63="","",$AE63*'Settings'!$B$17)</f>
        <v/>
      </c>
      <c r="AI63" s="71">
        <f>IF($A63="","",$R63*'Settings'!$B$7)</f>
        <v/>
      </c>
      <c r="AJ63" s="71">
        <f>IF($A63="","",$Z63-$V63-$AH63-$AI63)</f>
        <v/>
      </c>
      <c r="AK63" s="72">
        <f>IF($A63="","",IFERROR($AJ63/$AB63,0))</f>
        <v/>
      </c>
      <c r="AL63" s="38">
        <f>IF($A63="","",IF(OR($C63="Passed",$C63="Expired",$C63="Canceled"),$C63,IF($C63="Completed","Completed",IF(AND($O63&lt;='Settings'!$B$8,$AA63&gt;='Settings'!$B$10,$AJ63&gt;='Settings'!$B$9),IF($C63="Booked","Booked - Meets Targets","Meets Targets"),IF($C63="Booked","Booked - Below Target","Review")))))</f>
        <v/>
      </c>
      <c r="AM63" s="38">
        <f>IF($A63="","",IF(COUNTIF($A$6:$A$205,$A63)&gt;1,"Duplicate Load ID",IF(COUNTIF('Planner'!$A$6:$A$205,$B63)=0,"Trip ID not found",IF(($G63+$H63)&gt;($K63+$L63),"Check schedule",IF(MIN($N63,$O63,$P63,$Q63,$R63,$S63,$T63,$U63,$V63)&lt;0,"Negative value","OK")))))</f>
        <v/>
      </c>
    </row>
    <row r="64">
      <c r="A64" s="34" t="n"/>
      <c r="B64" s="34" t="n"/>
      <c r="C64" s="34" t="n"/>
      <c r="D64" s="34" t="n"/>
      <c r="E64" s="34" t="n"/>
      <c r="F64" s="34" t="n"/>
      <c r="G64" s="69" t="n"/>
      <c r="H64" s="36" t="n"/>
      <c r="I64" s="34" t="n"/>
      <c r="J64" s="34" t="n"/>
      <c r="K64" s="69" t="n"/>
      <c r="L64" s="36" t="n"/>
      <c r="M64" s="34" t="n"/>
      <c r="N64" s="75" t="n"/>
      <c r="O64" s="37" t="n"/>
      <c r="P64" s="37" t="n"/>
      <c r="Q64" s="37" t="n"/>
      <c r="R64" s="76" t="n"/>
      <c r="S64" s="77" t="n"/>
      <c r="T64" s="77" t="n"/>
      <c r="U64" s="77" t="n"/>
      <c r="V64" s="77" t="n"/>
      <c r="W64" s="34" t="n"/>
      <c r="X64" s="78" t="n"/>
      <c r="Y64" s="46" t="n"/>
      <c r="Z64" s="71">
        <f>IF($A64="","",SUM($S64:$U64))</f>
        <v/>
      </c>
      <c r="AA64" s="72">
        <f>IF($A64="","",IFERROR($Z64/$P64,0))</f>
        <v/>
      </c>
      <c r="AB64" s="41">
        <f>IF($A64="","",SUM($O64:$Q64))</f>
        <v/>
      </c>
      <c r="AC64" s="41">
        <f>IF($A64="","",IFERROR(INDEX('Planner'!$N$6:$N$205,MATCH($B64,'Planner'!$A$6:$A$205,0)),0))</f>
        <v/>
      </c>
      <c r="AD64" s="41">
        <f>IF($A64="","",$AC64-$O64-$Q64)</f>
        <v/>
      </c>
      <c r="AE64" s="41">
        <f>IF($A64="","",$AB64-$AC64)</f>
        <v/>
      </c>
      <c r="AF64" s="73">
        <f>IF($A64="","",IFERROR($AB64/'Settings'!$B$5,0))</f>
        <v/>
      </c>
      <c r="AG64" s="71">
        <f>IF($A64="","",$AF64*'Settings'!$B$4)</f>
        <v/>
      </c>
      <c r="AH64" s="71">
        <f>IF($A64="","",$AE64*'Settings'!$B$17)</f>
        <v/>
      </c>
      <c r="AI64" s="71">
        <f>IF($A64="","",$R64*'Settings'!$B$7)</f>
        <v/>
      </c>
      <c r="AJ64" s="71">
        <f>IF($A64="","",$Z64-$V64-$AH64-$AI64)</f>
        <v/>
      </c>
      <c r="AK64" s="72">
        <f>IF($A64="","",IFERROR($AJ64/$AB64,0))</f>
        <v/>
      </c>
      <c r="AL64" s="38">
        <f>IF($A64="","",IF(OR($C64="Passed",$C64="Expired",$C64="Canceled"),$C64,IF($C64="Completed","Completed",IF(AND($O64&lt;='Settings'!$B$8,$AA64&gt;='Settings'!$B$10,$AJ64&gt;='Settings'!$B$9),IF($C64="Booked","Booked - Meets Targets","Meets Targets"),IF($C64="Booked","Booked - Below Target","Review")))))</f>
        <v/>
      </c>
      <c r="AM64" s="38">
        <f>IF($A64="","",IF(COUNTIF($A$6:$A$205,$A64)&gt;1,"Duplicate Load ID",IF(COUNTIF('Planner'!$A$6:$A$205,$B64)=0,"Trip ID not found",IF(($G64+$H64)&gt;($K64+$L64),"Check schedule",IF(MIN($N64,$O64,$P64,$Q64,$R64,$S64,$T64,$U64,$V64)&lt;0,"Negative value","OK")))))</f>
        <v/>
      </c>
    </row>
    <row r="65">
      <c r="A65" s="34" t="n"/>
      <c r="B65" s="34" t="n"/>
      <c r="C65" s="34" t="n"/>
      <c r="D65" s="34" t="n"/>
      <c r="E65" s="34" t="n"/>
      <c r="F65" s="34" t="n"/>
      <c r="G65" s="69" t="n"/>
      <c r="H65" s="36" t="n"/>
      <c r="I65" s="34" t="n"/>
      <c r="J65" s="34" t="n"/>
      <c r="K65" s="69" t="n"/>
      <c r="L65" s="36" t="n"/>
      <c r="M65" s="34" t="n"/>
      <c r="N65" s="75" t="n"/>
      <c r="O65" s="37" t="n"/>
      <c r="P65" s="37" t="n"/>
      <c r="Q65" s="37" t="n"/>
      <c r="R65" s="76" t="n"/>
      <c r="S65" s="77" t="n"/>
      <c r="T65" s="77" t="n"/>
      <c r="U65" s="77" t="n"/>
      <c r="V65" s="77" t="n"/>
      <c r="W65" s="34" t="n"/>
      <c r="X65" s="78" t="n"/>
      <c r="Y65" s="46" t="n"/>
      <c r="Z65" s="71">
        <f>IF($A65="","",SUM($S65:$U65))</f>
        <v/>
      </c>
      <c r="AA65" s="72">
        <f>IF($A65="","",IFERROR($Z65/$P65,0))</f>
        <v/>
      </c>
      <c r="AB65" s="41">
        <f>IF($A65="","",SUM($O65:$Q65))</f>
        <v/>
      </c>
      <c r="AC65" s="41">
        <f>IF($A65="","",IFERROR(INDEX('Planner'!$N$6:$N$205,MATCH($B65,'Planner'!$A$6:$A$205,0)),0))</f>
        <v/>
      </c>
      <c r="AD65" s="41">
        <f>IF($A65="","",$AC65-$O65-$Q65)</f>
        <v/>
      </c>
      <c r="AE65" s="41">
        <f>IF($A65="","",$AB65-$AC65)</f>
        <v/>
      </c>
      <c r="AF65" s="73">
        <f>IF($A65="","",IFERROR($AB65/'Settings'!$B$5,0))</f>
        <v/>
      </c>
      <c r="AG65" s="71">
        <f>IF($A65="","",$AF65*'Settings'!$B$4)</f>
        <v/>
      </c>
      <c r="AH65" s="71">
        <f>IF($A65="","",$AE65*'Settings'!$B$17)</f>
        <v/>
      </c>
      <c r="AI65" s="71">
        <f>IF($A65="","",$R65*'Settings'!$B$7)</f>
        <v/>
      </c>
      <c r="AJ65" s="71">
        <f>IF($A65="","",$Z65-$V65-$AH65-$AI65)</f>
        <v/>
      </c>
      <c r="AK65" s="72">
        <f>IF($A65="","",IFERROR($AJ65/$AB65,0))</f>
        <v/>
      </c>
      <c r="AL65" s="38">
        <f>IF($A65="","",IF(OR($C65="Passed",$C65="Expired",$C65="Canceled"),$C65,IF($C65="Completed","Completed",IF(AND($O65&lt;='Settings'!$B$8,$AA65&gt;='Settings'!$B$10,$AJ65&gt;='Settings'!$B$9),IF($C65="Booked","Booked - Meets Targets","Meets Targets"),IF($C65="Booked","Booked - Below Target","Review")))))</f>
        <v/>
      </c>
      <c r="AM65" s="38">
        <f>IF($A65="","",IF(COUNTIF($A$6:$A$205,$A65)&gt;1,"Duplicate Load ID",IF(COUNTIF('Planner'!$A$6:$A$205,$B65)=0,"Trip ID not found",IF(($G65+$H65)&gt;($K65+$L65),"Check schedule",IF(MIN($N65,$O65,$P65,$Q65,$R65,$S65,$T65,$U65,$V65)&lt;0,"Negative value","OK")))))</f>
        <v/>
      </c>
    </row>
    <row r="66">
      <c r="A66" s="34" t="n"/>
      <c r="B66" s="34" t="n"/>
      <c r="C66" s="34" t="n"/>
      <c r="D66" s="34" t="n"/>
      <c r="E66" s="34" t="n"/>
      <c r="F66" s="34" t="n"/>
      <c r="G66" s="69" t="n"/>
      <c r="H66" s="36" t="n"/>
      <c r="I66" s="34" t="n"/>
      <c r="J66" s="34" t="n"/>
      <c r="K66" s="69" t="n"/>
      <c r="L66" s="36" t="n"/>
      <c r="M66" s="34" t="n"/>
      <c r="N66" s="75" t="n"/>
      <c r="O66" s="37" t="n"/>
      <c r="P66" s="37" t="n"/>
      <c r="Q66" s="37" t="n"/>
      <c r="R66" s="76" t="n"/>
      <c r="S66" s="77" t="n"/>
      <c r="T66" s="77" t="n"/>
      <c r="U66" s="77" t="n"/>
      <c r="V66" s="77" t="n"/>
      <c r="W66" s="34" t="n"/>
      <c r="X66" s="78" t="n"/>
      <c r="Y66" s="46" t="n"/>
      <c r="Z66" s="71">
        <f>IF($A66="","",SUM($S66:$U66))</f>
        <v/>
      </c>
      <c r="AA66" s="72">
        <f>IF($A66="","",IFERROR($Z66/$P66,0))</f>
        <v/>
      </c>
      <c r="AB66" s="41">
        <f>IF($A66="","",SUM($O66:$Q66))</f>
        <v/>
      </c>
      <c r="AC66" s="41">
        <f>IF($A66="","",IFERROR(INDEX('Planner'!$N$6:$N$205,MATCH($B66,'Planner'!$A$6:$A$205,0)),0))</f>
        <v/>
      </c>
      <c r="AD66" s="41">
        <f>IF($A66="","",$AC66-$O66-$Q66)</f>
        <v/>
      </c>
      <c r="AE66" s="41">
        <f>IF($A66="","",$AB66-$AC66)</f>
        <v/>
      </c>
      <c r="AF66" s="73">
        <f>IF($A66="","",IFERROR($AB66/'Settings'!$B$5,0))</f>
        <v/>
      </c>
      <c r="AG66" s="71">
        <f>IF($A66="","",$AF66*'Settings'!$B$4)</f>
        <v/>
      </c>
      <c r="AH66" s="71">
        <f>IF($A66="","",$AE66*'Settings'!$B$17)</f>
        <v/>
      </c>
      <c r="AI66" s="71">
        <f>IF($A66="","",$R66*'Settings'!$B$7)</f>
        <v/>
      </c>
      <c r="AJ66" s="71">
        <f>IF($A66="","",$Z66-$V66-$AH66-$AI66)</f>
        <v/>
      </c>
      <c r="AK66" s="72">
        <f>IF($A66="","",IFERROR($AJ66/$AB66,0))</f>
        <v/>
      </c>
      <c r="AL66" s="38">
        <f>IF($A66="","",IF(OR($C66="Passed",$C66="Expired",$C66="Canceled"),$C66,IF($C66="Completed","Completed",IF(AND($O66&lt;='Settings'!$B$8,$AA66&gt;='Settings'!$B$10,$AJ66&gt;='Settings'!$B$9),IF($C66="Booked","Booked - Meets Targets","Meets Targets"),IF($C66="Booked","Booked - Below Target","Review")))))</f>
        <v/>
      </c>
      <c r="AM66" s="38">
        <f>IF($A66="","",IF(COUNTIF($A$6:$A$205,$A66)&gt;1,"Duplicate Load ID",IF(COUNTIF('Planner'!$A$6:$A$205,$B66)=0,"Trip ID not found",IF(($G66+$H66)&gt;($K66+$L66),"Check schedule",IF(MIN($N66,$O66,$P66,$Q66,$R66,$S66,$T66,$U66,$V66)&lt;0,"Negative value","OK")))))</f>
        <v/>
      </c>
    </row>
    <row r="67">
      <c r="A67" s="34" t="n"/>
      <c r="B67" s="34" t="n"/>
      <c r="C67" s="34" t="n"/>
      <c r="D67" s="34" t="n"/>
      <c r="E67" s="34" t="n"/>
      <c r="F67" s="34" t="n"/>
      <c r="G67" s="69" t="n"/>
      <c r="H67" s="36" t="n"/>
      <c r="I67" s="34" t="n"/>
      <c r="J67" s="34" t="n"/>
      <c r="K67" s="69" t="n"/>
      <c r="L67" s="36" t="n"/>
      <c r="M67" s="34" t="n"/>
      <c r="N67" s="75" t="n"/>
      <c r="O67" s="37" t="n"/>
      <c r="P67" s="37" t="n"/>
      <c r="Q67" s="37" t="n"/>
      <c r="R67" s="76" t="n"/>
      <c r="S67" s="77" t="n"/>
      <c r="T67" s="77" t="n"/>
      <c r="U67" s="77" t="n"/>
      <c r="V67" s="77" t="n"/>
      <c r="W67" s="34" t="n"/>
      <c r="X67" s="78" t="n"/>
      <c r="Y67" s="46" t="n"/>
      <c r="Z67" s="71">
        <f>IF($A67="","",SUM($S67:$U67))</f>
        <v/>
      </c>
      <c r="AA67" s="72">
        <f>IF($A67="","",IFERROR($Z67/$P67,0))</f>
        <v/>
      </c>
      <c r="AB67" s="41">
        <f>IF($A67="","",SUM($O67:$Q67))</f>
        <v/>
      </c>
      <c r="AC67" s="41">
        <f>IF($A67="","",IFERROR(INDEX('Planner'!$N$6:$N$205,MATCH($B67,'Planner'!$A$6:$A$205,0)),0))</f>
        <v/>
      </c>
      <c r="AD67" s="41">
        <f>IF($A67="","",$AC67-$O67-$Q67)</f>
        <v/>
      </c>
      <c r="AE67" s="41">
        <f>IF($A67="","",$AB67-$AC67)</f>
        <v/>
      </c>
      <c r="AF67" s="73">
        <f>IF($A67="","",IFERROR($AB67/'Settings'!$B$5,0))</f>
        <v/>
      </c>
      <c r="AG67" s="71">
        <f>IF($A67="","",$AF67*'Settings'!$B$4)</f>
        <v/>
      </c>
      <c r="AH67" s="71">
        <f>IF($A67="","",$AE67*'Settings'!$B$17)</f>
        <v/>
      </c>
      <c r="AI67" s="71">
        <f>IF($A67="","",$R67*'Settings'!$B$7)</f>
        <v/>
      </c>
      <c r="AJ67" s="71">
        <f>IF($A67="","",$Z67-$V67-$AH67-$AI67)</f>
        <v/>
      </c>
      <c r="AK67" s="72">
        <f>IF($A67="","",IFERROR($AJ67/$AB67,0))</f>
        <v/>
      </c>
      <c r="AL67" s="38">
        <f>IF($A67="","",IF(OR($C67="Passed",$C67="Expired",$C67="Canceled"),$C67,IF($C67="Completed","Completed",IF(AND($O67&lt;='Settings'!$B$8,$AA67&gt;='Settings'!$B$10,$AJ67&gt;='Settings'!$B$9),IF($C67="Booked","Booked - Meets Targets","Meets Targets"),IF($C67="Booked","Booked - Below Target","Review")))))</f>
        <v/>
      </c>
      <c r="AM67" s="38">
        <f>IF($A67="","",IF(COUNTIF($A$6:$A$205,$A67)&gt;1,"Duplicate Load ID",IF(COUNTIF('Planner'!$A$6:$A$205,$B67)=0,"Trip ID not found",IF(($G67+$H67)&gt;($K67+$L67),"Check schedule",IF(MIN($N67,$O67,$P67,$Q67,$R67,$S67,$T67,$U67,$V67)&lt;0,"Negative value","OK")))))</f>
        <v/>
      </c>
    </row>
    <row r="68">
      <c r="A68" s="34" t="n"/>
      <c r="B68" s="34" t="n"/>
      <c r="C68" s="34" t="n"/>
      <c r="D68" s="34" t="n"/>
      <c r="E68" s="34" t="n"/>
      <c r="F68" s="34" t="n"/>
      <c r="G68" s="69" t="n"/>
      <c r="H68" s="36" t="n"/>
      <c r="I68" s="34" t="n"/>
      <c r="J68" s="34" t="n"/>
      <c r="K68" s="69" t="n"/>
      <c r="L68" s="36" t="n"/>
      <c r="M68" s="34" t="n"/>
      <c r="N68" s="75" t="n"/>
      <c r="O68" s="37" t="n"/>
      <c r="P68" s="37" t="n"/>
      <c r="Q68" s="37" t="n"/>
      <c r="R68" s="76" t="n"/>
      <c r="S68" s="77" t="n"/>
      <c r="T68" s="77" t="n"/>
      <c r="U68" s="77" t="n"/>
      <c r="V68" s="77" t="n"/>
      <c r="W68" s="34" t="n"/>
      <c r="X68" s="78" t="n"/>
      <c r="Y68" s="46" t="n"/>
      <c r="Z68" s="71">
        <f>IF($A68="","",SUM($S68:$U68))</f>
        <v/>
      </c>
      <c r="AA68" s="72">
        <f>IF($A68="","",IFERROR($Z68/$P68,0))</f>
        <v/>
      </c>
      <c r="AB68" s="41">
        <f>IF($A68="","",SUM($O68:$Q68))</f>
        <v/>
      </c>
      <c r="AC68" s="41">
        <f>IF($A68="","",IFERROR(INDEX('Planner'!$N$6:$N$205,MATCH($B68,'Planner'!$A$6:$A$205,0)),0))</f>
        <v/>
      </c>
      <c r="AD68" s="41">
        <f>IF($A68="","",$AC68-$O68-$Q68)</f>
        <v/>
      </c>
      <c r="AE68" s="41">
        <f>IF($A68="","",$AB68-$AC68)</f>
        <v/>
      </c>
      <c r="AF68" s="73">
        <f>IF($A68="","",IFERROR($AB68/'Settings'!$B$5,0))</f>
        <v/>
      </c>
      <c r="AG68" s="71">
        <f>IF($A68="","",$AF68*'Settings'!$B$4)</f>
        <v/>
      </c>
      <c r="AH68" s="71">
        <f>IF($A68="","",$AE68*'Settings'!$B$17)</f>
        <v/>
      </c>
      <c r="AI68" s="71">
        <f>IF($A68="","",$R68*'Settings'!$B$7)</f>
        <v/>
      </c>
      <c r="AJ68" s="71">
        <f>IF($A68="","",$Z68-$V68-$AH68-$AI68)</f>
        <v/>
      </c>
      <c r="AK68" s="72">
        <f>IF($A68="","",IFERROR($AJ68/$AB68,0))</f>
        <v/>
      </c>
      <c r="AL68" s="38">
        <f>IF($A68="","",IF(OR($C68="Passed",$C68="Expired",$C68="Canceled"),$C68,IF($C68="Completed","Completed",IF(AND($O68&lt;='Settings'!$B$8,$AA68&gt;='Settings'!$B$10,$AJ68&gt;='Settings'!$B$9),IF($C68="Booked","Booked - Meets Targets","Meets Targets"),IF($C68="Booked","Booked - Below Target","Review")))))</f>
        <v/>
      </c>
      <c r="AM68" s="38">
        <f>IF($A68="","",IF(COUNTIF($A$6:$A$205,$A68)&gt;1,"Duplicate Load ID",IF(COUNTIF('Planner'!$A$6:$A$205,$B68)=0,"Trip ID not found",IF(($G68+$H68)&gt;($K68+$L68),"Check schedule",IF(MIN($N68,$O68,$P68,$Q68,$R68,$S68,$T68,$U68,$V68)&lt;0,"Negative value","OK")))))</f>
        <v/>
      </c>
    </row>
    <row r="69">
      <c r="A69" s="34" t="n"/>
      <c r="B69" s="34" t="n"/>
      <c r="C69" s="34" t="n"/>
      <c r="D69" s="34" t="n"/>
      <c r="E69" s="34" t="n"/>
      <c r="F69" s="34" t="n"/>
      <c r="G69" s="69" t="n"/>
      <c r="H69" s="36" t="n"/>
      <c r="I69" s="34" t="n"/>
      <c r="J69" s="34" t="n"/>
      <c r="K69" s="69" t="n"/>
      <c r="L69" s="36" t="n"/>
      <c r="M69" s="34" t="n"/>
      <c r="N69" s="75" t="n"/>
      <c r="O69" s="37" t="n"/>
      <c r="P69" s="37" t="n"/>
      <c r="Q69" s="37" t="n"/>
      <c r="R69" s="76" t="n"/>
      <c r="S69" s="77" t="n"/>
      <c r="T69" s="77" t="n"/>
      <c r="U69" s="77" t="n"/>
      <c r="V69" s="77" t="n"/>
      <c r="W69" s="34" t="n"/>
      <c r="X69" s="78" t="n"/>
      <c r="Y69" s="46" t="n"/>
      <c r="Z69" s="71">
        <f>IF($A69="","",SUM($S69:$U69))</f>
        <v/>
      </c>
      <c r="AA69" s="72">
        <f>IF($A69="","",IFERROR($Z69/$P69,0))</f>
        <v/>
      </c>
      <c r="AB69" s="41">
        <f>IF($A69="","",SUM($O69:$Q69))</f>
        <v/>
      </c>
      <c r="AC69" s="41">
        <f>IF($A69="","",IFERROR(INDEX('Planner'!$N$6:$N$205,MATCH($B69,'Planner'!$A$6:$A$205,0)),0))</f>
        <v/>
      </c>
      <c r="AD69" s="41">
        <f>IF($A69="","",$AC69-$O69-$Q69)</f>
        <v/>
      </c>
      <c r="AE69" s="41">
        <f>IF($A69="","",$AB69-$AC69)</f>
        <v/>
      </c>
      <c r="AF69" s="73">
        <f>IF($A69="","",IFERROR($AB69/'Settings'!$B$5,0))</f>
        <v/>
      </c>
      <c r="AG69" s="71">
        <f>IF($A69="","",$AF69*'Settings'!$B$4)</f>
        <v/>
      </c>
      <c r="AH69" s="71">
        <f>IF($A69="","",$AE69*'Settings'!$B$17)</f>
        <v/>
      </c>
      <c r="AI69" s="71">
        <f>IF($A69="","",$R69*'Settings'!$B$7)</f>
        <v/>
      </c>
      <c r="AJ69" s="71">
        <f>IF($A69="","",$Z69-$V69-$AH69-$AI69)</f>
        <v/>
      </c>
      <c r="AK69" s="72">
        <f>IF($A69="","",IFERROR($AJ69/$AB69,0))</f>
        <v/>
      </c>
      <c r="AL69" s="38">
        <f>IF($A69="","",IF(OR($C69="Passed",$C69="Expired",$C69="Canceled"),$C69,IF($C69="Completed","Completed",IF(AND($O69&lt;='Settings'!$B$8,$AA69&gt;='Settings'!$B$10,$AJ69&gt;='Settings'!$B$9),IF($C69="Booked","Booked - Meets Targets","Meets Targets"),IF($C69="Booked","Booked - Below Target","Review")))))</f>
        <v/>
      </c>
      <c r="AM69" s="38">
        <f>IF($A69="","",IF(COUNTIF($A$6:$A$205,$A69)&gt;1,"Duplicate Load ID",IF(COUNTIF('Planner'!$A$6:$A$205,$B69)=0,"Trip ID not found",IF(($G69+$H69)&gt;($K69+$L69),"Check schedule",IF(MIN($N69,$O69,$P69,$Q69,$R69,$S69,$T69,$U69,$V69)&lt;0,"Negative value","OK")))))</f>
        <v/>
      </c>
    </row>
    <row r="70">
      <c r="A70" s="34" t="n"/>
      <c r="B70" s="34" t="n"/>
      <c r="C70" s="34" t="n"/>
      <c r="D70" s="34" t="n"/>
      <c r="E70" s="34" t="n"/>
      <c r="F70" s="34" t="n"/>
      <c r="G70" s="69" t="n"/>
      <c r="H70" s="36" t="n"/>
      <c r="I70" s="34" t="n"/>
      <c r="J70" s="34" t="n"/>
      <c r="K70" s="69" t="n"/>
      <c r="L70" s="36" t="n"/>
      <c r="M70" s="34" t="n"/>
      <c r="N70" s="75" t="n"/>
      <c r="O70" s="37" t="n"/>
      <c r="P70" s="37" t="n"/>
      <c r="Q70" s="37" t="n"/>
      <c r="R70" s="76" t="n"/>
      <c r="S70" s="77" t="n"/>
      <c r="T70" s="77" t="n"/>
      <c r="U70" s="77" t="n"/>
      <c r="V70" s="77" t="n"/>
      <c r="W70" s="34" t="n"/>
      <c r="X70" s="78" t="n"/>
      <c r="Y70" s="46" t="n"/>
      <c r="Z70" s="71">
        <f>IF($A70="","",SUM($S70:$U70))</f>
        <v/>
      </c>
      <c r="AA70" s="72">
        <f>IF($A70="","",IFERROR($Z70/$P70,0))</f>
        <v/>
      </c>
      <c r="AB70" s="41">
        <f>IF($A70="","",SUM($O70:$Q70))</f>
        <v/>
      </c>
      <c r="AC70" s="41">
        <f>IF($A70="","",IFERROR(INDEX('Planner'!$N$6:$N$205,MATCH($B70,'Planner'!$A$6:$A$205,0)),0))</f>
        <v/>
      </c>
      <c r="AD70" s="41">
        <f>IF($A70="","",$AC70-$O70-$Q70)</f>
        <v/>
      </c>
      <c r="AE70" s="41">
        <f>IF($A70="","",$AB70-$AC70)</f>
        <v/>
      </c>
      <c r="AF70" s="73">
        <f>IF($A70="","",IFERROR($AB70/'Settings'!$B$5,0))</f>
        <v/>
      </c>
      <c r="AG70" s="71">
        <f>IF($A70="","",$AF70*'Settings'!$B$4)</f>
        <v/>
      </c>
      <c r="AH70" s="71">
        <f>IF($A70="","",$AE70*'Settings'!$B$17)</f>
        <v/>
      </c>
      <c r="AI70" s="71">
        <f>IF($A70="","",$R70*'Settings'!$B$7)</f>
        <v/>
      </c>
      <c r="AJ70" s="71">
        <f>IF($A70="","",$Z70-$V70-$AH70-$AI70)</f>
        <v/>
      </c>
      <c r="AK70" s="72">
        <f>IF($A70="","",IFERROR($AJ70/$AB70,0))</f>
        <v/>
      </c>
      <c r="AL70" s="38">
        <f>IF($A70="","",IF(OR($C70="Passed",$C70="Expired",$C70="Canceled"),$C70,IF($C70="Completed","Completed",IF(AND($O70&lt;='Settings'!$B$8,$AA70&gt;='Settings'!$B$10,$AJ70&gt;='Settings'!$B$9),IF($C70="Booked","Booked - Meets Targets","Meets Targets"),IF($C70="Booked","Booked - Below Target","Review")))))</f>
        <v/>
      </c>
      <c r="AM70" s="38">
        <f>IF($A70="","",IF(COUNTIF($A$6:$A$205,$A70)&gt;1,"Duplicate Load ID",IF(COUNTIF('Planner'!$A$6:$A$205,$B70)=0,"Trip ID not found",IF(($G70+$H70)&gt;($K70+$L70),"Check schedule",IF(MIN($N70,$O70,$P70,$Q70,$R70,$S70,$T70,$U70,$V70)&lt;0,"Negative value","OK")))))</f>
        <v/>
      </c>
    </row>
    <row r="71">
      <c r="A71" s="34" t="n"/>
      <c r="B71" s="34" t="n"/>
      <c r="C71" s="34" t="n"/>
      <c r="D71" s="34" t="n"/>
      <c r="E71" s="34" t="n"/>
      <c r="F71" s="34" t="n"/>
      <c r="G71" s="69" t="n"/>
      <c r="H71" s="36" t="n"/>
      <c r="I71" s="34" t="n"/>
      <c r="J71" s="34" t="n"/>
      <c r="K71" s="69" t="n"/>
      <c r="L71" s="36" t="n"/>
      <c r="M71" s="34" t="n"/>
      <c r="N71" s="75" t="n"/>
      <c r="O71" s="37" t="n"/>
      <c r="P71" s="37" t="n"/>
      <c r="Q71" s="37" t="n"/>
      <c r="R71" s="76" t="n"/>
      <c r="S71" s="77" t="n"/>
      <c r="T71" s="77" t="n"/>
      <c r="U71" s="77" t="n"/>
      <c r="V71" s="77" t="n"/>
      <c r="W71" s="34" t="n"/>
      <c r="X71" s="78" t="n"/>
      <c r="Y71" s="46" t="n"/>
      <c r="Z71" s="71">
        <f>IF($A71="","",SUM($S71:$U71))</f>
        <v/>
      </c>
      <c r="AA71" s="72">
        <f>IF($A71="","",IFERROR($Z71/$P71,0))</f>
        <v/>
      </c>
      <c r="AB71" s="41">
        <f>IF($A71="","",SUM($O71:$Q71))</f>
        <v/>
      </c>
      <c r="AC71" s="41">
        <f>IF($A71="","",IFERROR(INDEX('Planner'!$N$6:$N$205,MATCH($B71,'Planner'!$A$6:$A$205,0)),0))</f>
        <v/>
      </c>
      <c r="AD71" s="41">
        <f>IF($A71="","",$AC71-$O71-$Q71)</f>
        <v/>
      </c>
      <c r="AE71" s="41">
        <f>IF($A71="","",$AB71-$AC71)</f>
        <v/>
      </c>
      <c r="AF71" s="73">
        <f>IF($A71="","",IFERROR($AB71/'Settings'!$B$5,0))</f>
        <v/>
      </c>
      <c r="AG71" s="71">
        <f>IF($A71="","",$AF71*'Settings'!$B$4)</f>
        <v/>
      </c>
      <c r="AH71" s="71">
        <f>IF($A71="","",$AE71*'Settings'!$B$17)</f>
        <v/>
      </c>
      <c r="AI71" s="71">
        <f>IF($A71="","",$R71*'Settings'!$B$7)</f>
        <v/>
      </c>
      <c r="AJ71" s="71">
        <f>IF($A71="","",$Z71-$V71-$AH71-$AI71)</f>
        <v/>
      </c>
      <c r="AK71" s="72">
        <f>IF($A71="","",IFERROR($AJ71/$AB71,0))</f>
        <v/>
      </c>
      <c r="AL71" s="38">
        <f>IF($A71="","",IF(OR($C71="Passed",$C71="Expired",$C71="Canceled"),$C71,IF($C71="Completed","Completed",IF(AND($O71&lt;='Settings'!$B$8,$AA71&gt;='Settings'!$B$10,$AJ71&gt;='Settings'!$B$9),IF($C71="Booked","Booked - Meets Targets","Meets Targets"),IF($C71="Booked","Booked - Below Target","Review")))))</f>
        <v/>
      </c>
      <c r="AM71" s="38">
        <f>IF($A71="","",IF(COUNTIF($A$6:$A$205,$A71)&gt;1,"Duplicate Load ID",IF(COUNTIF('Planner'!$A$6:$A$205,$B71)=0,"Trip ID not found",IF(($G71+$H71)&gt;($K71+$L71),"Check schedule",IF(MIN($N71,$O71,$P71,$Q71,$R71,$S71,$T71,$U71,$V71)&lt;0,"Negative value","OK")))))</f>
        <v/>
      </c>
    </row>
    <row r="72">
      <c r="A72" s="34" t="n"/>
      <c r="B72" s="34" t="n"/>
      <c r="C72" s="34" t="n"/>
      <c r="D72" s="34" t="n"/>
      <c r="E72" s="34" t="n"/>
      <c r="F72" s="34" t="n"/>
      <c r="G72" s="69" t="n"/>
      <c r="H72" s="36" t="n"/>
      <c r="I72" s="34" t="n"/>
      <c r="J72" s="34" t="n"/>
      <c r="K72" s="69" t="n"/>
      <c r="L72" s="36" t="n"/>
      <c r="M72" s="34" t="n"/>
      <c r="N72" s="75" t="n"/>
      <c r="O72" s="37" t="n"/>
      <c r="P72" s="37" t="n"/>
      <c r="Q72" s="37" t="n"/>
      <c r="R72" s="76" t="n"/>
      <c r="S72" s="77" t="n"/>
      <c r="T72" s="77" t="n"/>
      <c r="U72" s="77" t="n"/>
      <c r="V72" s="77" t="n"/>
      <c r="W72" s="34" t="n"/>
      <c r="X72" s="78" t="n"/>
      <c r="Y72" s="46" t="n"/>
      <c r="Z72" s="71">
        <f>IF($A72="","",SUM($S72:$U72))</f>
        <v/>
      </c>
      <c r="AA72" s="72">
        <f>IF($A72="","",IFERROR($Z72/$P72,0))</f>
        <v/>
      </c>
      <c r="AB72" s="41">
        <f>IF($A72="","",SUM($O72:$Q72))</f>
        <v/>
      </c>
      <c r="AC72" s="41">
        <f>IF($A72="","",IFERROR(INDEX('Planner'!$N$6:$N$205,MATCH($B72,'Planner'!$A$6:$A$205,0)),0))</f>
        <v/>
      </c>
      <c r="AD72" s="41">
        <f>IF($A72="","",$AC72-$O72-$Q72)</f>
        <v/>
      </c>
      <c r="AE72" s="41">
        <f>IF($A72="","",$AB72-$AC72)</f>
        <v/>
      </c>
      <c r="AF72" s="73">
        <f>IF($A72="","",IFERROR($AB72/'Settings'!$B$5,0))</f>
        <v/>
      </c>
      <c r="AG72" s="71">
        <f>IF($A72="","",$AF72*'Settings'!$B$4)</f>
        <v/>
      </c>
      <c r="AH72" s="71">
        <f>IF($A72="","",$AE72*'Settings'!$B$17)</f>
        <v/>
      </c>
      <c r="AI72" s="71">
        <f>IF($A72="","",$R72*'Settings'!$B$7)</f>
        <v/>
      </c>
      <c r="AJ72" s="71">
        <f>IF($A72="","",$Z72-$V72-$AH72-$AI72)</f>
        <v/>
      </c>
      <c r="AK72" s="72">
        <f>IF($A72="","",IFERROR($AJ72/$AB72,0))</f>
        <v/>
      </c>
      <c r="AL72" s="38">
        <f>IF($A72="","",IF(OR($C72="Passed",$C72="Expired",$C72="Canceled"),$C72,IF($C72="Completed","Completed",IF(AND($O72&lt;='Settings'!$B$8,$AA72&gt;='Settings'!$B$10,$AJ72&gt;='Settings'!$B$9),IF($C72="Booked","Booked - Meets Targets","Meets Targets"),IF($C72="Booked","Booked - Below Target","Review")))))</f>
        <v/>
      </c>
      <c r="AM72" s="38">
        <f>IF($A72="","",IF(COUNTIF($A$6:$A$205,$A72)&gt;1,"Duplicate Load ID",IF(COUNTIF('Planner'!$A$6:$A$205,$B72)=0,"Trip ID not found",IF(($G72+$H72)&gt;($K72+$L72),"Check schedule",IF(MIN($N72,$O72,$P72,$Q72,$R72,$S72,$T72,$U72,$V72)&lt;0,"Negative value","OK")))))</f>
        <v/>
      </c>
    </row>
    <row r="73">
      <c r="A73" s="34" t="n"/>
      <c r="B73" s="34" t="n"/>
      <c r="C73" s="34" t="n"/>
      <c r="D73" s="34" t="n"/>
      <c r="E73" s="34" t="n"/>
      <c r="F73" s="34" t="n"/>
      <c r="G73" s="69" t="n"/>
      <c r="H73" s="36" t="n"/>
      <c r="I73" s="34" t="n"/>
      <c r="J73" s="34" t="n"/>
      <c r="K73" s="69" t="n"/>
      <c r="L73" s="36" t="n"/>
      <c r="M73" s="34" t="n"/>
      <c r="N73" s="75" t="n"/>
      <c r="O73" s="37" t="n"/>
      <c r="P73" s="37" t="n"/>
      <c r="Q73" s="37" t="n"/>
      <c r="R73" s="76" t="n"/>
      <c r="S73" s="77" t="n"/>
      <c r="T73" s="77" t="n"/>
      <c r="U73" s="77" t="n"/>
      <c r="V73" s="77" t="n"/>
      <c r="W73" s="34" t="n"/>
      <c r="X73" s="78" t="n"/>
      <c r="Y73" s="46" t="n"/>
      <c r="Z73" s="71">
        <f>IF($A73="","",SUM($S73:$U73))</f>
        <v/>
      </c>
      <c r="AA73" s="72">
        <f>IF($A73="","",IFERROR($Z73/$P73,0))</f>
        <v/>
      </c>
      <c r="AB73" s="41">
        <f>IF($A73="","",SUM($O73:$Q73))</f>
        <v/>
      </c>
      <c r="AC73" s="41">
        <f>IF($A73="","",IFERROR(INDEX('Planner'!$N$6:$N$205,MATCH($B73,'Planner'!$A$6:$A$205,0)),0))</f>
        <v/>
      </c>
      <c r="AD73" s="41">
        <f>IF($A73="","",$AC73-$O73-$Q73)</f>
        <v/>
      </c>
      <c r="AE73" s="41">
        <f>IF($A73="","",$AB73-$AC73)</f>
        <v/>
      </c>
      <c r="AF73" s="73">
        <f>IF($A73="","",IFERROR($AB73/'Settings'!$B$5,0))</f>
        <v/>
      </c>
      <c r="AG73" s="71">
        <f>IF($A73="","",$AF73*'Settings'!$B$4)</f>
        <v/>
      </c>
      <c r="AH73" s="71">
        <f>IF($A73="","",$AE73*'Settings'!$B$17)</f>
        <v/>
      </c>
      <c r="AI73" s="71">
        <f>IF($A73="","",$R73*'Settings'!$B$7)</f>
        <v/>
      </c>
      <c r="AJ73" s="71">
        <f>IF($A73="","",$Z73-$V73-$AH73-$AI73)</f>
        <v/>
      </c>
      <c r="AK73" s="72">
        <f>IF($A73="","",IFERROR($AJ73/$AB73,0))</f>
        <v/>
      </c>
      <c r="AL73" s="38">
        <f>IF($A73="","",IF(OR($C73="Passed",$C73="Expired",$C73="Canceled"),$C73,IF($C73="Completed","Completed",IF(AND($O73&lt;='Settings'!$B$8,$AA73&gt;='Settings'!$B$10,$AJ73&gt;='Settings'!$B$9),IF($C73="Booked","Booked - Meets Targets","Meets Targets"),IF($C73="Booked","Booked - Below Target","Review")))))</f>
        <v/>
      </c>
      <c r="AM73" s="38">
        <f>IF($A73="","",IF(COUNTIF($A$6:$A$205,$A73)&gt;1,"Duplicate Load ID",IF(COUNTIF('Planner'!$A$6:$A$205,$B73)=0,"Trip ID not found",IF(($G73+$H73)&gt;($K73+$L73),"Check schedule",IF(MIN($N73,$O73,$P73,$Q73,$R73,$S73,$T73,$U73,$V73)&lt;0,"Negative value","OK")))))</f>
        <v/>
      </c>
    </row>
    <row r="74">
      <c r="A74" s="34" t="n"/>
      <c r="B74" s="34" t="n"/>
      <c r="C74" s="34" t="n"/>
      <c r="D74" s="34" t="n"/>
      <c r="E74" s="34" t="n"/>
      <c r="F74" s="34" t="n"/>
      <c r="G74" s="69" t="n"/>
      <c r="H74" s="36" t="n"/>
      <c r="I74" s="34" t="n"/>
      <c r="J74" s="34" t="n"/>
      <c r="K74" s="69" t="n"/>
      <c r="L74" s="36" t="n"/>
      <c r="M74" s="34" t="n"/>
      <c r="N74" s="75" t="n"/>
      <c r="O74" s="37" t="n"/>
      <c r="P74" s="37" t="n"/>
      <c r="Q74" s="37" t="n"/>
      <c r="R74" s="76" t="n"/>
      <c r="S74" s="77" t="n"/>
      <c r="T74" s="77" t="n"/>
      <c r="U74" s="77" t="n"/>
      <c r="V74" s="77" t="n"/>
      <c r="W74" s="34" t="n"/>
      <c r="X74" s="78" t="n"/>
      <c r="Y74" s="46" t="n"/>
      <c r="Z74" s="71">
        <f>IF($A74="","",SUM($S74:$U74))</f>
        <v/>
      </c>
      <c r="AA74" s="72">
        <f>IF($A74="","",IFERROR($Z74/$P74,0))</f>
        <v/>
      </c>
      <c r="AB74" s="41">
        <f>IF($A74="","",SUM($O74:$Q74))</f>
        <v/>
      </c>
      <c r="AC74" s="41">
        <f>IF($A74="","",IFERROR(INDEX('Planner'!$N$6:$N$205,MATCH($B74,'Planner'!$A$6:$A$205,0)),0))</f>
        <v/>
      </c>
      <c r="AD74" s="41">
        <f>IF($A74="","",$AC74-$O74-$Q74)</f>
        <v/>
      </c>
      <c r="AE74" s="41">
        <f>IF($A74="","",$AB74-$AC74)</f>
        <v/>
      </c>
      <c r="AF74" s="73">
        <f>IF($A74="","",IFERROR($AB74/'Settings'!$B$5,0))</f>
        <v/>
      </c>
      <c r="AG74" s="71">
        <f>IF($A74="","",$AF74*'Settings'!$B$4)</f>
        <v/>
      </c>
      <c r="AH74" s="71">
        <f>IF($A74="","",$AE74*'Settings'!$B$17)</f>
        <v/>
      </c>
      <c r="AI74" s="71">
        <f>IF($A74="","",$R74*'Settings'!$B$7)</f>
        <v/>
      </c>
      <c r="AJ74" s="71">
        <f>IF($A74="","",$Z74-$V74-$AH74-$AI74)</f>
        <v/>
      </c>
      <c r="AK74" s="72">
        <f>IF($A74="","",IFERROR($AJ74/$AB74,0))</f>
        <v/>
      </c>
      <c r="AL74" s="38">
        <f>IF($A74="","",IF(OR($C74="Passed",$C74="Expired",$C74="Canceled"),$C74,IF($C74="Completed","Completed",IF(AND($O74&lt;='Settings'!$B$8,$AA74&gt;='Settings'!$B$10,$AJ74&gt;='Settings'!$B$9),IF($C74="Booked","Booked - Meets Targets","Meets Targets"),IF($C74="Booked","Booked - Below Target","Review")))))</f>
        <v/>
      </c>
      <c r="AM74" s="38">
        <f>IF($A74="","",IF(COUNTIF($A$6:$A$205,$A74)&gt;1,"Duplicate Load ID",IF(COUNTIF('Planner'!$A$6:$A$205,$B74)=0,"Trip ID not found",IF(($G74+$H74)&gt;($K74+$L74),"Check schedule",IF(MIN($N74,$O74,$P74,$Q74,$R74,$S74,$T74,$U74,$V74)&lt;0,"Negative value","OK")))))</f>
        <v/>
      </c>
    </row>
    <row r="75">
      <c r="A75" s="34" t="n"/>
      <c r="B75" s="34" t="n"/>
      <c r="C75" s="34" t="n"/>
      <c r="D75" s="34" t="n"/>
      <c r="E75" s="34" t="n"/>
      <c r="F75" s="34" t="n"/>
      <c r="G75" s="69" t="n"/>
      <c r="H75" s="36" t="n"/>
      <c r="I75" s="34" t="n"/>
      <c r="J75" s="34" t="n"/>
      <c r="K75" s="69" t="n"/>
      <c r="L75" s="36" t="n"/>
      <c r="M75" s="34" t="n"/>
      <c r="N75" s="75" t="n"/>
      <c r="O75" s="37" t="n"/>
      <c r="P75" s="37" t="n"/>
      <c r="Q75" s="37" t="n"/>
      <c r="R75" s="76" t="n"/>
      <c r="S75" s="77" t="n"/>
      <c r="T75" s="77" t="n"/>
      <c r="U75" s="77" t="n"/>
      <c r="V75" s="77" t="n"/>
      <c r="W75" s="34" t="n"/>
      <c r="X75" s="78" t="n"/>
      <c r="Y75" s="46" t="n"/>
      <c r="Z75" s="71">
        <f>IF($A75="","",SUM($S75:$U75))</f>
        <v/>
      </c>
      <c r="AA75" s="72">
        <f>IF($A75="","",IFERROR($Z75/$P75,0))</f>
        <v/>
      </c>
      <c r="AB75" s="41">
        <f>IF($A75="","",SUM($O75:$Q75))</f>
        <v/>
      </c>
      <c r="AC75" s="41">
        <f>IF($A75="","",IFERROR(INDEX('Planner'!$N$6:$N$205,MATCH($B75,'Planner'!$A$6:$A$205,0)),0))</f>
        <v/>
      </c>
      <c r="AD75" s="41">
        <f>IF($A75="","",$AC75-$O75-$Q75)</f>
        <v/>
      </c>
      <c r="AE75" s="41">
        <f>IF($A75="","",$AB75-$AC75)</f>
        <v/>
      </c>
      <c r="AF75" s="73">
        <f>IF($A75="","",IFERROR($AB75/'Settings'!$B$5,0))</f>
        <v/>
      </c>
      <c r="AG75" s="71">
        <f>IF($A75="","",$AF75*'Settings'!$B$4)</f>
        <v/>
      </c>
      <c r="AH75" s="71">
        <f>IF($A75="","",$AE75*'Settings'!$B$17)</f>
        <v/>
      </c>
      <c r="AI75" s="71">
        <f>IF($A75="","",$R75*'Settings'!$B$7)</f>
        <v/>
      </c>
      <c r="AJ75" s="71">
        <f>IF($A75="","",$Z75-$V75-$AH75-$AI75)</f>
        <v/>
      </c>
      <c r="AK75" s="72">
        <f>IF($A75="","",IFERROR($AJ75/$AB75,0))</f>
        <v/>
      </c>
      <c r="AL75" s="38">
        <f>IF($A75="","",IF(OR($C75="Passed",$C75="Expired",$C75="Canceled"),$C75,IF($C75="Completed","Completed",IF(AND($O75&lt;='Settings'!$B$8,$AA75&gt;='Settings'!$B$10,$AJ75&gt;='Settings'!$B$9),IF($C75="Booked","Booked - Meets Targets","Meets Targets"),IF($C75="Booked","Booked - Below Target","Review")))))</f>
        <v/>
      </c>
      <c r="AM75" s="38">
        <f>IF($A75="","",IF(COUNTIF($A$6:$A$205,$A75)&gt;1,"Duplicate Load ID",IF(COUNTIF('Planner'!$A$6:$A$205,$B75)=0,"Trip ID not found",IF(($G75+$H75)&gt;($K75+$L75),"Check schedule",IF(MIN($N75,$O75,$P75,$Q75,$R75,$S75,$T75,$U75,$V75)&lt;0,"Negative value","OK")))))</f>
        <v/>
      </c>
    </row>
    <row r="76">
      <c r="A76" s="34" t="n"/>
      <c r="B76" s="34" t="n"/>
      <c r="C76" s="34" t="n"/>
      <c r="D76" s="34" t="n"/>
      <c r="E76" s="34" t="n"/>
      <c r="F76" s="34" t="n"/>
      <c r="G76" s="69" t="n"/>
      <c r="H76" s="36" t="n"/>
      <c r="I76" s="34" t="n"/>
      <c r="J76" s="34" t="n"/>
      <c r="K76" s="69" t="n"/>
      <c r="L76" s="36" t="n"/>
      <c r="M76" s="34" t="n"/>
      <c r="N76" s="75" t="n"/>
      <c r="O76" s="37" t="n"/>
      <c r="P76" s="37" t="n"/>
      <c r="Q76" s="37" t="n"/>
      <c r="R76" s="76" t="n"/>
      <c r="S76" s="77" t="n"/>
      <c r="T76" s="77" t="n"/>
      <c r="U76" s="77" t="n"/>
      <c r="V76" s="77" t="n"/>
      <c r="W76" s="34" t="n"/>
      <c r="X76" s="78" t="n"/>
      <c r="Y76" s="46" t="n"/>
      <c r="Z76" s="71">
        <f>IF($A76="","",SUM($S76:$U76))</f>
        <v/>
      </c>
      <c r="AA76" s="72">
        <f>IF($A76="","",IFERROR($Z76/$P76,0))</f>
        <v/>
      </c>
      <c r="AB76" s="41">
        <f>IF($A76="","",SUM($O76:$Q76))</f>
        <v/>
      </c>
      <c r="AC76" s="41">
        <f>IF($A76="","",IFERROR(INDEX('Planner'!$N$6:$N$205,MATCH($B76,'Planner'!$A$6:$A$205,0)),0))</f>
        <v/>
      </c>
      <c r="AD76" s="41">
        <f>IF($A76="","",$AC76-$O76-$Q76)</f>
        <v/>
      </c>
      <c r="AE76" s="41">
        <f>IF($A76="","",$AB76-$AC76)</f>
        <v/>
      </c>
      <c r="AF76" s="73">
        <f>IF($A76="","",IFERROR($AB76/'Settings'!$B$5,0))</f>
        <v/>
      </c>
      <c r="AG76" s="71">
        <f>IF($A76="","",$AF76*'Settings'!$B$4)</f>
        <v/>
      </c>
      <c r="AH76" s="71">
        <f>IF($A76="","",$AE76*'Settings'!$B$17)</f>
        <v/>
      </c>
      <c r="AI76" s="71">
        <f>IF($A76="","",$R76*'Settings'!$B$7)</f>
        <v/>
      </c>
      <c r="AJ76" s="71">
        <f>IF($A76="","",$Z76-$V76-$AH76-$AI76)</f>
        <v/>
      </c>
      <c r="AK76" s="72">
        <f>IF($A76="","",IFERROR($AJ76/$AB76,0))</f>
        <v/>
      </c>
      <c r="AL76" s="38">
        <f>IF($A76="","",IF(OR($C76="Passed",$C76="Expired",$C76="Canceled"),$C76,IF($C76="Completed","Completed",IF(AND($O76&lt;='Settings'!$B$8,$AA76&gt;='Settings'!$B$10,$AJ76&gt;='Settings'!$B$9),IF($C76="Booked","Booked - Meets Targets","Meets Targets"),IF($C76="Booked","Booked - Below Target","Review")))))</f>
        <v/>
      </c>
      <c r="AM76" s="38">
        <f>IF($A76="","",IF(COUNTIF($A$6:$A$205,$A76)&gt;1,"Duplicate Load ID",IF(COUNTIF('Planner'!$A$6:$A$205,$B76)=0,"Trip ID not found",IF(($G76+$H76)&gt;($K76+$L76),"Check schedule",IF(MIN($N76,$O76,$P76,$Q76,$R76,$S76,$T76,$U76,$V76)&lt;0,"Negative value","OK")))))</f>
        <v/>
      </c>
    </row>
    <row r="77">
      <c r="A77" s="34" t="n"/>
      <c r="B77" s="34" t="n"/>
      <c r="C77" s="34" t="n"/>
      <c r="D77" s="34" t="n"/>
      <c r="E77" s="34" t="n"/>
      <c r="F77" s="34" t="n"/>
      <c r="G77" s="69" t="n"/>
      <c r="H77" s="36" t="n"/>
      <c r="I77" s="34" t="n"/>
      <c r="J77" s="34" t="n"/>
      <c r="K77" s="69" t="n"/>
      <c r="L77" s="36" t="n"/>
      <c r="M77" s="34" t="n"/>
      <c r="N77" s="75" t="n"/>
      <c r="O77" s="37" t="n"/>
      <c r="P77" s="37" t="n"/>
      <c r="Q77" s="37" t="n"/>
      <c r="R77" s="76" t="n"/>
      <c r="S77" s="77" t="n"/>
      <c r="T77" s="77" t="n"/>
      <c r="U77" s="77" t="n"/>
      <c r="V77" s="77" t="n"/>
      <c r="W77" s="34" t="n"/>
      <c r="X77" s="78" t="n"/>
      <c r="Y77" s="46" t="n"/>
      <c r="Z77" s="71">
        <f>IF($A77="","",SUM($S77:$U77))</f>
        <v/>
      </c>
      <c r="AA77" s="72">
        <f>IF($A77="","",IFERROR($Z77/$P77,0))</f>
        <v/>
      </c>
      <c r="AB77" s="41">
        <f>IF($A77="","",SUM($O77:$Q77))</f>
        <v/>
      </c>
      <c r="AC77" s="41">
        <f>IF($A77="","",IFERROR(INDEX('Planner'!$N$6:$N$205,MATCH($B77,'Planner'!$A$6:$A$205,0)),0))</f>
        <v/>
      </c>
      <c r="AD77" s="41">
        <f>IF($A77="","",$AC77-$O77-$Q77)</f>
        <v/>
      </c>
      <c r="AE77" s="41">
        <f>IF($A77="","",$AB77-$AC77)</f>
        <v/>
      </c>
      <c r="AF77" s="73">
        <f>IF($A77="","",IFERROR($AB77/'Settings'!$B$5,0))</f>
        <v/>
      </c>
      <c r="AG77" s="71">
        <f>IF($A77="","",$AF77*'Settings'!$B$4)</f>
        <v/>
      </c>
      <c r="AH77" s="71">
        <f>IF($A77="","",$AE77*'Settings'!$B$17)</f>
        <v/>
      </c>
      <c r="AI77" s="71">
        <f>IF($A77="","",$R77*'Settings'!$B$7)</f>
        <v/>
      </c>
      <c r="AJ77" s="71">
        <f>IF($A77="","",$Z77-$V77-$AH77-$AI77)</f>
        <v/>
      </c>
      <c r="AK77" s="72">
        <f>IF($A77="","",IFERROR($AJ77/$AB77,0))</f>
        <v/>
      </c>
      <c r="AL77" s="38">
        <f>IF($A77="","",IF(OR($C77="Passed",$C77="Expired",$C77="Canceled"),$C77,IF($C77="Completed","Completed",IF(AND($O77&lt;='Settings'!$B$8,$AA77&gt;='Settings'!$B$10,$AJ77&gt;='Settings'!$B$9),IF($C77="Booked","Booked - Meets Targets","Meets Targets"),IF($C77="Booked","Booked - Below Target","Review")))))</f>
        <v/>
      </c>
      <c r="AM77" s="38">
        <f>IF($A77="","",IF(COUNTIF($A$6:$A$205,$A77)&gt;1,"Duplicate Load ID",IF(COUNTIF('Planner'!$A$6:$A$205,$B77)=0,"Trip ID not found",IF(($G77+$H77)&gt;($K77+$L77),"Check schedule",IF(MIN($N77,$O77,$P77,$Q77,$R77,$S77,$T77,$U77,$V77)&lt;0,"Negative value","OK")))))</f>
        <v/>
      </c>
    </row>
    <row r="78">
      <c r="A78" s="34" t="n"/>
      <c r="B78" s="34" t="n"/>
      <c r="C78" s="34" t="n"/>
      <c r="D78" s="34" t="n"/>
      <c r="E78" s="34" t="n"/>
      <c r="F78" s="34" t="n"/>
      <c r="G78" s="69" t="n"/>
      <c r="H78" s="36" t="n"/>
      <c r="I78" s="34" t="n"/>
      <c r="J78" s="34" t="n"/>
      <c r="K78" s="69" t="n"/>
      <c r="L78" s="36" t="n"/>
      <c r="M78" s="34" t="n"/>
      <c r="N78" s="75" t="n"/>
      <c r="O78" s="37" t="n"/>
      <c r="P78" s="37" t="n"/>
      <c r="Q78" s="37" t="n"/>
      <c r="R78" s="76" t="n"/>
      <c r="S78" s="77" t="n"/>
      <c r="T78" s="77" t="n"/>
      <c r="U78" s="77" t="n"/>
      <c r="V78" s="77" t="n"/>
      <c r="W78" s="34" t="n"/>
      <c r="X78" s="78" t="n"/>
      <c r="Y78" s="46" t="n"/>
      <c r="Z78" s="71">
        <f>IF($A78="","",SUM($S78:$U78))</f>
        <v/>
      </c>
      <c r="AA78" s="72">
        <f>IF($A78="","",IFERROR($Z78/$P78,0))</f>
        <v/>
      </c>
      <c r="AB78" s="41">
        <f>IF($A78="","",SUM($O78:$Q78))</f>
        <v/>
      </c>
      <c r="AC78" s="41">
        <f>IF($A78="","",IFERROR(INDEX('Planner'!$N$6:$N$205,MATCH($B78,'Planner'!$A$6:$A$205,0)),0))</f>
        <v/>
      </c>
      <c r="AD78" s="41">
        <f>IF($A78="","",$AC78-$O78-$Q78)</f>
        <v/>
      </c>
      <c r="AE78" s="41">
        <f>IF($A78="","",$AB78-$AC78)</f>
        <v/>
      </c>
      <c r="AF78" s="73">
        <f>IF($A78="","",IFERROR($AB78/'Settings'!$B$5,0))</f>
        <v/>
      </c>
      <c r="AG78" s="71">
        <f>IF($A78="","",$AF78*'Settings'!$B$4)</f>
        <v/>
      </c>
      <c r="AH78" s="71">
        <f>IF($A78="","",$AE78*'Settings'!$B$17)</f>
        <v/>
      </c>
      <c r="AI78" s="71">
        <f>IF($A78="","",$R78*'Settings'!$B$7)</f>
        <v/>
      </c>
      <c r="AJ78" s="71">
        <f>IF($A78="","",$Z78-$V78-$AH78-$AI78)</f>
        <v/>
      </c>
      <c r="AK78" s="72">
        <f>IF($A78="","",IFERROR($AJ78/$AB78,0))</f>
        <v/>
      </c>
      <c r="AL78" s="38">
        <f>IF($A78="","",IF(OR($C78="Passed",$C78="Expired",$C78="Canceled"),$C78,IF($C78="Completed","Completed",IF(AND($O78&lt;='Settings'!$B$8,$AA78&gt;='Settings'!$B$10,$AJ78&gt;='Settings'!$B$9),IF($C78="Booked","Booked - Meets Targets","Meets Targets"),IF($C78="Booked","Booked - Below Target","Review")))))</f>
        <v/>
      </c>
      <c r="AM78" s="38">
        <f>IF($A78="","",IF(COUNTIF($A$6:$A$205,$A78)&gt;1,"Duplicate Load ID",IF(COUNTIF('Planner'!$A$6:$A$205,$B78)=0,"Trip ID not found",IF(($G78+$H78)&gt;($K78+$L78),"Check schedule",IF(MIN($N78,$O78,$P78,$Q78,$R78,$S78,$T78,$U78,$V78)&lt;0,"Negative value","OK")))))</f>
        <v/>
      </c>
    </row>
    <row r="79">
      <c r="A79" s="34" t="n"/>
      <c r="B79" s="34" t="n"/>
      <c r="C79" s="34" t="n"/>
      <c r="D79" s="34" t="n"/>
      <c r="E79" s="34" t="n"/>
      <c r="F79" s="34" t="n"/>
      <c r="G79" s="69" t="n"/>
      <c r="H79" s="36" t="n"/>
      <c r="I79" s="34" t="n"/>
      <c r="J79" s="34" t="n"/>
      <c r="K79" s="69" t="n"/>
      <c r="L79" s="36" t="n"/>
      <c r="M79" s="34" t="n"/>
      <c r="N79" s="75" t="n"/>
      <c r="O79" s="37" t="n"/>
      <c r="P79" s="37" t="n"/>
      <c r="Q79" s="37" t="n"/>
      <c r="R79" s="76" t="n"/>
      <c r="S79" s="77" t="n"/>
      <c r="T79" s="77" t="n"/>
      <c r="U79" s="77" t="n"/>
      <c r="V79" s="77" t="n"/>
      <c r="W79" s="34" t="n"/>
      <c r="X79" s="78" t="n"/>
      <c r="Y79" s="46" t="n"/>
      <c r="Z79" s="71">
        <f>IF($A79="","",SUM($S79:$U79))</f>
        <v/>
      </c>
      <c r="AA79" s="72">
        <f>IF($A79="","",IFERROR($Z79/$P79,0))</f>
        <v/>
      </c>
      <c r="AB79" s="41">
        <f>IF($A79="","",SUM($O79:$Q79))</f>
        <v/>
      </c>
      <c r="AC79" s="41">
        <f>IF($A79="","",IFERROR(INDEX('Planner'!$N$6:$N$205,MATCH($B79,'Planner'!$A$6:$A$205,0)),0))</f>
        <v/>
      </c>
      <c r="AD79" s="41">
        <f>IF($A79="","",$AC79-$O79-$Q79)</f>
        <v/>
      </c>
      <c r="AE79" s="41">
        <f>IF($A79="","",$AB79-$AC79)</f>
        <v/>
      </c>
      <c r="AF79" s="73">
        <f>IF($A79="","",IFERROR($AB79/'Settings'!$B$5,0))</f>
        <v/>
      </c>
      <c r="AG79" s="71">
        <f>IF($A79="","",$AF79*'Settings'!$B$4)</f>
        <v/>
      </c>
      <c r="AH79" s="71">
        <f>IF($A79="","",$AE79*'Settings'!$B$17)</f>
        <v/>
      </c>
      <c r="AI79" s="71">
        <f>IF($A79="","",$R79*'Settings'!$B$7)</f>
        <v/>
      </c>
      <c r="AJ79" s="71">
        <f>IF($A79="","",$Z79-$V79-$AH79-$AI79)</f>
        <v/>
      </c>
      <c r="AK79" s="72">
        <f>IF($A79="","",IFERROR($AJ79/$AB79,0))</f>
        <v/>
      </c>
      <c r="AL79" s="38">
        <f>IF($A79="","",IF(OR($C79="Passed",$C79="Expired",$C79="Canceled"),$C79,IF($C79="Completed","Completed",IF(AND($O79&lt;='Settings'!$B$8,$AA79&gt;='Settings'!$B$10,$AJ79&gt;='Settings'!$B$9),IF($C79="Booked","Booked - Meets Targets","Meets Targets"),IF($C79="Booked","Booked - Below Target","Review")))))</f>
        <v/>
      </c>
      <c r="AM79" s="38">
        <f>IF($A79="","",IF(COUNTIF($A$6:$A$205,$A79)&gt;1,"Duplicate Load ID",IF(COUNTIF('Planner'!$A$6:$A$205,$B79)=0,"Trip ID not found",IF(($G79+$H79)&gt;($K79+$L79),"Check schedule",IF(MIN($N79,$O79,$P79,$Q79,$R79,$S79,$T79,$U79,$V79)&lt;0,"Negative value","OK")))))</f>
        <v/>
      </c>
    </row>
    <row r="80">
      <c r="A80" s="34" t="n"/>
      <c r="B80" s="34" t="n"/>
      <c r="C80" s="34" t="n"/>
      <c r="D80" s="34" t="n"/>
      <c r="E80" s="34" t="n"/>
      <c r="F80" s="34" t="n"/>
      <c r="G80" s="69" t="n"/>
      <c r="H80" s="36" t="n"/>
      <c r="I80" s="34" t="n"/>
      <c r="J80" s="34" t="n"/>
      <c r="K80" s="69" t="n"/>
      <c r="L80" s="36" t="n"/>
      <c r="M80" s="34" t="n"/>
      <c r="N80" s="75" t="n"/>
      <c r="O80" s="37" t="n"/>
      <c r="P80" s="37" t="n"/>
      <c r="Q80" s="37" t="n"/>
      <c r="R80" s="76" t="n"/>
      <c r="S80" s="77" t="n"/>
      <c r="T80" s="77" t="n"/>
      <c r="U80" s="77" t="n"/>
      <c r="V80" s="77" t="n"/>
      <c r="W80" s="34" t="n"/>
      <c r="X80" s="78" t="n"/>
      <c r="Y80" s="46" t="n"/>
      <c r="Z80" s="71">
        <f>IF($A80="","",SUM($S80:$U80))</f>
        <v/>
      </c>
      <c r="AA80" s="72">
        <f>IF($A80="","",IFERROR($Z80/$P80,0))</f>
        <v/>
      </c>
      <c r="AB80" s="41">
        <f>IF($A80="","",SUM($O80:$Q80))</f>
        <v/>
      </c>
      <c r="AC80" s="41">
        <f>IF($A80="","",IFERROR(INDEX('Planner'!$N$6:$N$205,MATCH($B80,'Planner'!$A$6:$A$205,0)),0))</f>
        <v/>
      </c>
      <c r="AD80" s="41">
        <f>IF($A80="","",$AC80-$O80-$Q80)</f>
        <v/>
      </c>
      <c r="AE80" s="41">
        <f>IF($A80="","",$AB80-$AC80)</f>
        <v/>
      </c>
      <c r="AF80" s="73">
        <f>IF($A80="","",IFERROR($AB80/'Settings'!$B$5,0))</f>
        <v/>
      </c>
      <c r="AG80" s="71">
        <f>IF($A80="","",$AF80*'Settings'!$B$4)</f>
        <v/>
      </c>
      <c r="AH80" s="71">
        <f>IF($A80="","",$AE80*'Settings'!$B$17)</f>
        <v/>
      </c>
      <c r="AI80" s="71">
        <f>IF($A80="","",$R80*'Settings'!$B$7)</f>
        <v/>
      </c>
      <c r="AJ80" s="71">
        <f>IF($A80="","",$Z80-$V80-$AH80-$AI80)</f>
        <v/>
      </c>
      <c r="AK80" s="72">
        <f>IF($A80="","",IFERROR($AJ80/$AB80,0))</f>
        <v/>
      </c>
      <c r="AL80" s="38">
        <f>IF($A80="","",IF(OR($C80="Passed",$C80="Expired",$C80="Canceled"),$C80,IF($C80="Completed","Completed",IF(AND($O80&lt;='Settings'!$B$8,$AA80&gt;='Settings'!$B$10,$AJ80&gt;='Settings'!$B$9),IF($C80="Booked","Booked - Meets Targets","Meets Targets"),IF($C80="Booked","Booked - Below Target","Review")))))</f>
        <v/>
      </c>
      <c r="AM80" s="38">
        <f>IF($A80="","",IF(COUNTIF($A$6:$A$205,$A80)&gt;1,"Duplicate Load ID",IF(COUNTIF('Planner'!$A$6:$A$205,$B80)=0,"Trip ID not found",IF(($G80+$H80)&gt;($K80+$L80),"Check schedule",IF(MIN($N80,$O80,$P80,$Q80,$R80,$S80,$T80,$U80,$V80)&lt;0,"Negative value","OK")))))</f>
        <v/>
      </c>
    </row>
    <row r="81">
      <c r="A81" s="34" t="n"/>
      <c r="B81" s="34" t="n"/>
      <c r="C81" s="34" t="n"/>
      <c r="D81" s="34" t="n"/>
      <c r="E81" s="34" t="n"/>
      <c r="F81" s="34" t="n"/>
      <c r="G81" s="69" t="n"/>
      <c r="H81" s="36" t="n"/>
      <c r="I81" s="34" t="n"/>
      <c r="J81" s="34" t="n"/>
      <c r="K81" s="69" t="n"/>
      <c r="L81" s="36" t="n"/>
      <c r="M81" s="34" t="n"/>
      <c r="N81" s="75" t="n"/>
      <c r="O81" s="37" t="n"/>
      <c r="P81" s="37" t="n"/>
      <c r="Q81" s="37" t="n"/>
      <c r="R81" s="76" t="n"/>
      <c r="S81" s="77" t="n"/>
      <c r="T81" s="77" t="n"/>
      <c r="U81" s="77" t="n"/>
      <c r="V81" s="77" t="n"/>
      <c r="W81" s="34" t="n"/>
      <c r="X81" s="78" t="n"/>
      <c r="Y81" s="46" t="n"/>
      <c r="Z81" s="71">
        <f>IF($A81="","",SUM($S81:$U81))</f>
        <v/>
      </c>
      <c r="AA81" s="72">
        <f>IF($A81="","",IFERROR($Z81/$P81,0))</f>
        <v/>
      </c>
      <c r="AB81" s="41">
        <f>IF($A81="","",SUM($O81:$Q81))</f>
        <v/>
      </c>
      <c r="AC81" s="41">
        <f>IF($A81="","",IFERROR(INDEX('Planner'!$N$6:$N$205,MATCH($B81,'Planner'!$A$6:$A$205,0)),0))</f>
        <v/>
      </c>
      <c r="AD81" s="41">
        <f>IF($A81="","",$AC81-$O81-$Q81)</f>
        <v/>
      </c>
      <c r="AE81" s="41">
        <f>IF($A81="","",$AB81-$AC81)</f>
        <v/>
      </c>
      <c r="AF81" s="73">
        <f>IF($A81="","",IFERROR($AB81/'Settings'!$B$5,0))</f>
        <v/>
      </c>
      <c r="AG81" s="71">
        <f>IF($A81="","",$AF81*'Settings'!$B$4)</f>
        <v/>
      </c>
      <c r="AH81" s="71">
        <f>IF($A81="","",$AE81*'Settings'!$B$17)</f>
        <v/>
      </c>
      <c r="AI81" s="71">
        <f>IF($A81="","",$R81*'Settings'!$B$7)</f>
        <v/>
      </c>
      <c r="AJ81" s="71">
        <f>IF($A81="","",$Z81-$V81-$AH81-$AI81)</f>
        <v/>
      </c>
      <c r="AK81" s="72">
        <f>IF($A81="","",IFERROR($AJ81/$AB81,0))</f>
        <v/>
      </c>
      <c r="AL81" s="38">
        <f>IF($A81="","",IF(OR($C81="Passed",$C81="Expired",$C81="Canceled"),$C81,IF($C81="Completed","Completed",IF(AND($O81&lt;='Settings'!$B$8,$AA81&gt;='Settings'!$B$10,$AJ81&gt;='Settings'!$B$9),IF($C81="Booked","Booked - Meets Targets","Meets Targets"),IF($C81="Booked","Booked - Below Target","Review")))))</f>
        <v/>
      </c>
      <c r="AM81" s="38">
        <f>IF($A81="","",IF(COUNTIF($A$6:$A$205,$A81)&gt;1,"Duplicate Load ID",IF(COUNTIF('Planner'!$A$6:$A$205,$B81)=0,"Trip ID not found",IF(($G81+$H81)&gt;($K81+$L81),"Check schedule",IF(MIN($N81,$O81,$P81,$Q81,$R81,$S81,$T81,$U81,$V81)&lt;0,"Negative value","OK")))))</f>
        <v/>
      </c>
    </row>
    <row r="82">
      <c r="A82" s="34" t="n"/>
      <c r="B82" s="34" t="n"/>
      <c r="C82" s="34" t="n"/>
      <c r="D82" s="34" t="n"/>
      <c r="E82" s="34" t="n"/>
      <c r="F82" s="34" t="n"/>
      <c r="G82" s="69" t="n"/>
      <c r="H82" s="36" t="n"/>
      <c r="I82" s="34" t="n"/>
      <c r="J82" s="34" t="n"/>
      <c r="K82" s="69" t="n"/>
      <c r="L82" s="36" t="n"/>
      <c r="M82" s="34" t="n"/>
      <c r="N82" s="75" t="n"/>
      <c r="O82" s="37" t="n"/>
      <c r="P82" s="37" t="n"/>
      <c r="Q82" s="37" t="n"/>
      <c r="R82" s="76" t="n"/>
      <c r="S82" s="77" t="n"/>
      <c r="T82" s="77" t="n"/>
      <c r="U82" s="77" t="n"/>
      <c r="V82" s="77" t="n"/>
      <c r="W82" s="34" t="n"/>
      <c r="X82" s="78" t="n"/>
      <c r="Y82" s="46" t="n"/>
      <c r="Z82" s="71">
        <f>IF($A82="","",SUM($S82:$U82))</f>
        <v/>
      </c>
      <c r="AA82" s="72">
        <f>IF($A82="","",IFERROR($Z82/$P82,0))</f>
        <v/>
      </c>
      <c r="AB82" s="41">
        <f>IF($A82="","",SUM($O82:$Q82))</f>
        <v/>
      </c>
      <c r="AC82" s="41">
        <f>IF($A82="","",IFERROR(INDEX('Planner'!$N$6:$N$205,MATCH($B82,'Planner'!$A$6:$A$205,0)),0))</f>
        <v/>
      </c>
      <c r="AD82" s="41">
        <f>IF($A82="","",$AC82-$O82-$Q82)</f>
        <v/>
      </c>
      <c r="AE82" s="41">
        <f>IF($A82="","",$AB82-$AC82)</f>
        <v/>
      </c>
      <c r="AF82" s="73">
        <f>IF($A82="","",IFERROR($AB82/'Settings'!$B$5,0))</f>
        <v/>
      </c>
      <c r="AG82" s="71">
        <f>IF($A82="","",$AF82*'Settings'!$B$4)</f>
        <v/>
      </c>
      <c r="AH82" s="71">
        <f>IF($A82="","",$AE82*'Settings'!$B$17)</f>
        <v/>
      </c>
      <c r="AI82" s="71">
        <f>IF($A82="","",$R82*'Settings'!$B$7)</f>
        <v/>
      </c>
      <c r="AJ82" s="71">
        <f>IF($A82="","",$Z82-$V82-$AH82-$AI82)</f>
        <v/>
      </c>
      <c r="AK82" s="72">
        <f>IF($A82="","",IFERROR($AJ82/$AB82,0))</f>
        <v/>
      </c>
      <c r="AL82" s="38">
        <f>IF($A82="","",IF(OR($C82="Passed",$C82="Expired",$C82="Canceled"),$C82,IF($C82="Completed","Completed",IF(AND($O82&lt;='Settings'!$B$8,$AA82&gt;='Settings'!$B$10,$AJ82&gt;='Settings'!$B$9),IF($C82="Booked","Booked - Meets Targets","Meets Targets"),IF($C82="Booked","Booked - Below Target","Review")))))</f>
        <v/>
      </c>
      <c r="AM82" s="38">
        <f>IF($A82="","",IF(COUNTIF($A$6:$A$205,$A82)&gt;1,"Duplicate Load ID",IF(COUNTIF('Planner'!$A$6:$A$205,$B82)=0,"Trip ID not found",IF(($G82+$H82)&gt;($K82+$L82),"Check schedule",IF(MIN($N82,$O82,$P82,$Q82,$R82,$S82,$T82,$U82,$V82)&lt;0,"Negative value","OK")))))</f>
        <v/>
      </c>
    </row>
    <row r="83">
      <c r="A83" s="34" t="n"/>
      <c r="B83" s="34" t="n"/>
      <c r="C83" s="34" t="n"/>
      <c r="D83" s="34" t="n"/>
      <c r="E83" s="34" t="n"/>
      <c r="F83" s="34" t="n"/>
      <c r="G83" s="69" t="n"/>
      <c r="H83" s="36" t="n"/>
      <c r="I83" s="34" t="n"/>
      <c r="J83" s="34" t="n"/>
      <c r="K83" s="69" t="n"/>
      <c r="L83" s="36" t="n"/>
      <c r="M83" s="34" t="n"/>
      <c r="N83" s="75" t="n"/>
      <c r="O83" s="37" t="n"/>
      <c r="P83" s="37" t="n"/>
      <c r="Q83" s="37" t="n"/>
      <c r="R83" s="76" t="n"/>
      <c r="S83" s="77" t="n"/>
      <c r="T83" s="77" t="n"/>
      <c r="U83" s="77" t="n"/>
      <c r="V83" s="77" t="n"/>
      <c r="W83" s="34" t="n"/>
      <c r="X83" s="78" t="n"/>
      <c r="Y83" s="46" t="n"/>
      <c r="Z83" s="71">
        <f>IF($A83="","",SUM($S83:$U83))</f>
        <v/>
      </c>
      <c r="AA83" s="72">
        <f>IF($A83="","",IFERROR($Z83/$P83,0))</f>
        <v/>
      </c>
      <c r="AB83" s="41">
        <f>IF($A83="","",SUM($O83:$Q83))</f>
        <v/>
      </c>
      <c r="AC83" s="41">
        <f>IF($A83="","",IFERROR(INDEX('Planner'!$N$6:$N$205,MATCH($B83,'Planner'!$A$6:$A$205,0)),0))</f>
        <v/>
      </c>
      <c r="AD83" s="41">
        <f>IF($A83="","",$AC83-$O83-$Q83)</f>
        <v/>
      </c>
      <c r="AE83" s="41">
        <f>IF($A83="","",$AB83-$AC83)</f>
        <v/>
      </c>
      <c r="AF83" s="73">
        <f>IF($A83="","",IFERROR($AB83/'Settings'!$B$5,0))</f>
        <v/>
      </c>
      <c r="AG83" s="71">
        <f>IF($A83="","",$AF83*'Settings'!$B$4)</f>
        <v/>
      </c>
      <c r="AH83" s="71">
        <f>IF($A83="","",$AE83*'Settings'!$B$17)</f>
        <v/>
      </c>
      <c r="AI83" s="71">
        <f>IF($A83="","",$R83*'Settings'!$B$7)</f>
        <v/>
      </c>
      <c r="AJ83" s="71">
        <f>IF($A83="","",$Z83-$V83-$AH83-$AI83)</f>
        <v/>
      </c>
      <c r="AK83" s="72">
        <f>IF($A83="","",IFERROR($AJ83/$AB83,0))</f>
        <v/>
      </c>
      <c r="AL83" s="38">
        <f>IF($A83="","",IF(OR($C83="Passed",$C83="Expired",$C83="Canceled"),$C83,IF($C83="Completed","Completed",IF(AND($O83&lt;='Settings'!$B$8,$AA83&gt;='Settings'!$B$10,$AJ83&gt;='Settings'!$B$9),IF($C83="Booked","Booked - Meets Targets","Meets Targets"),IF($C83="Booked","Booked - Below Target","Review")))))</f>
        <v/>
      </c>
      <c r="AM83" s="38">
        <f>IF($A83="","",IF(COUNTIF($A$6:$A$205,$A83)&gt;1,"Duplicate Load ID",IF(COUNTIF('Planner'!$A$6:$A$205,$B83)=0,"Trip ID not found",IF(($G83+$H83)&gt;($K83+$L83),"Check schedule",IF(MIN($N83,$O83,$P83,$Q83,$R83,$S83,$T83,$U83,$V83)&lt;0,"Negative value","OK")))))</f>
        <v/>
      </c>
    </row>
    <row r="84">
      <c r="A84" s="34" t="n"/>
      <c r="B84" s="34" t="n"/>
      <c r="C84" s="34" t="n"/>
      <c r="D84" s="34" t="n"/>
      <c r="E84" s="34" t="n"/>
      <c r="F84" s="34" t="n"/>
      <c r="G84" s="69" t="n"/>
      <c r="H84" s="36" t="n"/>
      <c r="I84" s="34" t="n"/>
      <c r="J84" s="34" t="n"/>
      <c r="K84" s="69" t="n"/>
      <c r="L84" s="36" t="n"/>
      <c r="M84" s="34" t="n"/>
      <c r="N84" s="75" t="n"/>
      <c r="O84" s="37" t="n"/>
      <c r="P84" s="37" t="n"/>
      <c r="Q84" s="37" t="n"/>
      <c r="R84" s="76" t="n"/>
      <c r="S84" s="77" t="n"/>
      <c r="T84" s="77" t="n"/>
      <c r="U84" s="77" t="n"/>
      <c r="V84" s="77" t="n"/>
      <c r="W84" s="34" t="n"/>
      <c r="X84" s="78" t="n"/>
      <c r="Y84" s="46" t="n"/>
      <c r="Z84" s="71">
        <f>IF($A84="","",SUM($S84:$U84))</f>
        <v/>
      </c>
      <c r="AA84" s="72">
        <f>IF($A84="","",IFERROR($Z84/$P84,0))</f>
        <v/>
      </c>
      <c r="AB84" s="41">
        <f>IF($A84="","",SUM($O84:$Q84))</f>
        <v/>
      </c>
      <c r="AC84" s="41">
        <f>IF($A84="","",IFERROR(INDEX('Planner'!$N$6:$N$205,MATCH($B84,'Planner'!$A$6:$A$205,0)),0))</f>
        <v/>
      </c>
      <c r="AD84" s="41">
        <f>IF($A84="","",$AC84-$O84-$Q84)</f>
        <v/>
      </c>
      <c r="AE84" s="41">
        <f>IF($A84="","",$AB84-$AC84)</f>
        <v/>
      </c>
      <c r="AF84" s="73">
        <f>IF($A84="","",IFERROR($AB84/'Settings'!$B$5,0))</f>
        <v/>
      </c>
      <c r="AG84" s="71">
        <f>IF($A84="","",$AF84*'Settings'!$B$4)</f>
        <v/>
      </c>
      <c r="AH84" s="71">
        <f>IF($A84="","",$AE84*'Settings'!$B$17)</f>
        <v/>
      </c>
      <c r="AI84" s="71">
        <f>IF($A84="","",$R84*'Settings'!$B$7)</f>
        <v/>
      </c>
      <c r="AJ84" s="71">
        <f>IF($A84="","",$Z84-$V84-$AH84-$AI84)</f>
        <v/>
      </c>
      <c r="AK84" s="72">
        <f>IF($A84="","",IFERROR($AJ84/$AB84,0))</f>
        <v/>
      </c>
      <c r="AL84" s="38">
        <f>IF($A84="","",IF(OR($C84="Passed",$C84="Expired",$C84="Canceled"),$C84,IF($C84="Completed","Completed",IF(AND($O84&lt;='Settings'!$B$8,$AA84&gt;='Settings'!$B$10,$AJ84&gt;='Settings'!$B$9),IF($C84="Booked","Booked - Meets Targets","Meets Targets"),IF($C84="Booked","Booked - Below Target","Review")))))</f>
        <v/>
      </c>
      <c r="AM84" s="38">
        <f>IF($A84="","",IF(COUNTIF($A$6:$A$205,$A84)&gt;1,"Duplicate Load ID",IF(COUNTIF('Planner'!$A$6:$A$205,$B84)=0,"Trip ID not found",IF(($G84+$H84)&gt;($K84+$L84),"Check schedule",IF(MIN($N84,$O84,$P84,$Q84,$R84,$S84,$T84,$U84,$V84)&lt;0,"Negative value","OK")))))</f>
        <v/>
      </c>
    </row>
    <row r="85">
      <c r="A85" s="34" t="n"/>
      <c r="B85" s="34" t="n"/>
      <c r="C85" s="34" t="n"/>
      <c r="D85" s="34" t="n"/>
      <c r="E85" s="34" t="n"/>
      <c r="F85" s="34" t="n"/>
      <c r="G85" s="69" t="n"/>
      <c r="H85" s="36" t="n"/>
      <c r="I85" s="34" t="n"/>
      <c r="J85" s="34" t="n"/>
      <c r="K85" s="69" t="n"/>
      <c r="L85" s="36" t="n"/>
      <c r="M85" s="34" t="n"/>
      <c r="N85" s="75" t="n"/>
      <c r="O85" s="37" t="n"/>
      <c r="P85" s="37" t="n"/>
      <c r="Q85" s="37" t="n"/>
      <c r="R85" s="76" t="n"/>
      <c r="S85" s="77" t="n"/>
      <c r="T85" s="77" t="n"/>
      <c r="U85" s="77" t="n"/>
      <c r="V85" s="77" t="n"/>
      <c r="W85" s="34" t="n"/>
      <c r="X85" s="78" t="n"/>
      <c r="Y85" s="46" t="n"/>
      <c r="Z85" s="71">
        <f>IF($A85="","",SUM($S85:$U85))</f>
        <v/>
      </c>
      <c r="AA85" s="72">
        <f>IF($A85="","",IFERROR($Z85/$P85,0))</f>
        <v/>
      </c>
      <c r="AB85" s="41">
        <f>IF($A85="","",SUM($O85:$Q85))</f>
        <v/>
      </c>
      <c r="AC85" s="41">
        <f>IF($A85="","",IFERROR(INDEX('Planner'!$N$6:$N$205,MATCH($B85,'Planner'!$A$6:$A$205,0)),0))</f>
        <v/>
      </c>
      <c r="AD85" s="41">
        <f>IF($A85="","",$AC85-$O85-$Q85)</f>
        <v/>
      </c>
      <c r="AE85" s="41">
        <f>IF($A85="","",$AB85-$AC85)</f>
        <v/>
      </c>
      <c r="AF85" s="73">
        <f>IF($A85="","",IFERROR($AB85/'Settings'!$B$5,0))</f>
        <v/>
      </c>
      <c r="AG85" s="71">
        <f>IF($A85="","",$AF85*'Settings'!$B$4)</f>
        <v/>
      </c>
      <c r="AH85" s="71">
        <f>IF($A85="","",$AE85*'Settings'!$B$17)</f>
        <v/>
      </c>
      <c r="AI85" s="71">
        <f>IF($A85="","",$R85*'Settings'!$B$7)</f>
        <v/>
      </c>
      <c r="AJ85" s="71">
        <f>IF($A85="","",$Z85-$V85-$AH85-$AI85)</f>
        <v/>
      </c>
      <c r="AK85" s="72">
        <f>IF($A85="","",IFERROR($AJ85/$AB85,0))</f>
        <v/>
      </c>
      <c r="AL85" s="38">
        <f>IF($A85="","",IF(OR($C85="Passed",$C85="Expired",$C85="Canceled"),$C85,IF($C85="Completed","Completed",IF(AND($O85&lt;='Settings'!$B$8,$AA85&gt;='Settings'!$B$10,$AJ85&gt;='Settings'!$B$9),IF($C85="Booked","Booked - Meets Targets","Meets Targets"),IF($C85="Booked","Booked - Below Target","Review")))))</f>
        <v/>
      </c>
      <c r="AM85" s="38">
        <f>IF($A85="","",IF(COUNTIF($A$6:$A$205,$A85)&gt;1,"Duplicate Load ID",IF(COUNTIF('Planner'!$A$6:$A$205,$B85)=0,"Trip ID not found",IF(($G85+$H85)&gt;($K85+$L85),"Check schedule",IF(MIN($N85,$O85,$P85,$Q85,$R85,$S85,$T85,$U85,$V85)&lt;0,"Negative value","OK")))))</f>
        <v/>
      </c>
    </row>
    <row r="86">
      <c r="A86" s="34" t="n"/>
      <c r="B86" s="34" t="n"/>
      <c r="C86" s="34" t="n"/>
      <c r="D86" s="34" t="n"/>
      <c r="E86" s="34" t="n"/>
      <c r="F86" s="34" t="n"/>
      <c r="G86" s="69" t="n"/>
      <c r="H86" s="36" t="n"/>
      <c r="I86" s="34" t="n"/>
      <c r="J86" s="34" t="n"/>
      <c r="K86" s="69" t="n"/>
      <c r="L86" s="36" t="n"/>
      <c r="M86" s="34" t="n"/>
      <c r="N86" s="75" t="n"/>
      <c r="O86" s="37" t="n"/>
      <c r="P86" s="37" t="n"/>
      <c r="Q86" s="37" t="n"/>
      <c r="R86" s="76" t="n"/>
      <c r="S86" s="77" t="n"/>
      <c r="T86" s="77" t="n"/>
      <c r="U86" s="77" t="n"/>
      <c r="V86" s="77" t="n"/>
      <c r="W86" s="34" t="n"/>
      <c r="X86" s="78" t="n"/>
      <c r="Y86" s="46" t="n"/>
      <c r="Z86" s="71">
        <f>IF($A86="","",SUM($S86:$U86))</f>
        <v/>
      </c>
      <c r="AA86" s="72">
        <f>IF($A86="","",IFERROR($Z86/$P86,0))</f>
        <v/>
      </c>
      <c r="AB86" s="41">
        <f>IF($A86="","",SUM($O86:$Q86))</f>
        <v/>
      </c>
      <c r="AC86" s="41">
        <f>IF($A86="","",IFERROR(INDEX('Planner'!$N$6:$N$205,MATCH($B86,'Planner'!$A$6:$A$205,0)),0))</f>
        <v/>
      </c>
      <c r="AD86" s="41">
        <f>IF($A86="","",$AC86-$O86-$Q86)</f>
        <v/>
      </c>
      <c r="AE86" s="41">
        <f>IF($A86="","",$AB86-$AC86)</f>
        <v/>
      </c>
      <c r="AF86" s="73">
        <f>IF($A86="","",IFERROR($AB86/'Settings'!$B$5,0))</f>
        <v/>
      </c>
      <c r="AG86" s="71">
        <f>IF($A86="","",$AF86*'Settings'!$B$4)</f>
        <v/>
      </c>
      <c r="AH86" s="71">
        <f>IF($A86="","",$AE86*'Settings'!$B$17)</f>
        <v/>
      </c>
      <c r="AI86" s="71">
        <f>IF($A86="","",$R86*'Settings'!$B$7)</f>
        <v/>
      </c>
      <c r="AJ86" s="71">
        <f>IF($A86="","",$Z86-$V86-$AH86-$AI86)</f>
        <v/>
      </c>
      <c r="AK86" s="72">
        <f>IF($A86="","",IFERROR($AJ86/$AB86,0))</f>
        <v/>
      </c>
      <c r="AL86" s="38">
        <f>IF($A86="","",IF(OR($C86="Passed",$C86="Expired",$C86="Canceled"),$C86,IF($C86="Completed","Completed",IF(AND($O86&lt;='Settings'!$B$8,$AA86&gt;='Settings'!$B$10,$AJ86&gt;='Settings'!$B$9),IF($C86="Booked","Booked - Meets Targets","Meets Targets"),IF($C86="Booked","Booked - Below Target","Review")))))</f>
        <v/>
      </c>
      <c r="AM86" s="38">
        <f>IF($A86="","",IF(COUNTIF($A$6:$A$205,$A86)&gt;1,"Duplicate Load ID",IF(COUNTIF('Planner'!$A$6:$A$205,$B86)=0,"Trip ID not found",IF(($G86+$H86)&gt;($K86+$L86),"Check schedule",IF(MIN($N86,$O86,$P86,$Q86,$R86,$S86,$T86,$U86,$V86)&lt;0,"Negative value","OK")))))</f>
        <v/>
      </c>
    </row>
    <row r="87">
      <c r="A87" s="34" t="n"/>
      <c r="B87" s="34" t="n"/>
      <c r="C87" s="34" t="n"/>
      <c r="D87" s="34" t="n"/>
      <c r="E87" s="34" t="n"/>
      <c r="F87" s="34" t="n"/>
      <c r="G87" s="69" t="n"/>
      <c r="H87" s="36" t="n"/>
      <c r="I87" s="34" t="n"/>
      <c r="J87" s="34" t="n"/>
      <c r="K87" s="69" t="n"/>
      <c r="L87" s="36" t="n"/>
      <c r="M87" s="34" t="n"/>
      <c r="N87" s="75" t="n"/>
      <c r="O87" s="37" t="n"/>
      <c r="P87" s="37" t="n"/>
      <c r="Q87" s="37" t="n"/>
      <c r="R87" s="76" t="n"/>
      <c r="S87" s="77" t="n"/>
      <c r="T87" s="77" t="n"/>
      <c r="U87" s="77" t="n"/>
      <c r="V87" s="77" t="n"/>
      <c r="W87" s="34" t="n"/>
      <c r="X87" s="78" t="n"/>
      <c r="Y87" s="46" t="n"/>
      <c r="Z87" s="71">
        <f>IF($A87="","",SUM($S87:$U87))</f>
        <v/>
      </c>
      <c r="AA87" s="72">
        <f>IF($A87="","",IFERROR($Z87/$P87,0))</f>
        <v/>
      </c>
      <c r="AB87" s="41">
        <f>IF($A87="","",SUM($O87:$Q87))</f>
        <v/>
      </c>
      <c r="AC87" s="41">
        <f>IF($A87="","",IFERROR(INDEX('Planner'!$N$6:$N$205,MATCH($B87,'Planner'!$A$6:$A$205,0)),0))</f>
        <v/>
      </c>
      <c r="AD87" s="41">
        <f>IF($A87="","",$AC87-$O87-$Q87)</f>
        <v/>
      </c>
      <c r="AE87" s="41">
        <f>IF($A87="","",$AB87-$AC87)</f>
        <v/>
      </c>
      <c r="AF87" s="73">
        <f>IF($A87="","",IFERROR($AB87/'Settings'!$B$5,0))</f>
        <v/>
      </c>
      <c r="AG87" s="71">
        <f>IF($A87="","",$AF87*'Settings'!$B$4)</f>
        <v/>
      </c>
      <c r="AH87" s="71">
        <f>IF($A87="","",$AE87*'Settings'!$B$17)</f>
        <v/>
      </c>
      <c r="AI87" s="71">
        <f>IF($A87="","",$R87*'Settings'!$B$7)</f>
        <v/>
      </c>
      <c r="AJ87" s="71">
        <f>IF($A87="","",$Z87-$V87-$AH87-$AI87)</f>
        <v/>
      </c>
      <c r="AK87" s="72">
        <f>IF($A87="","",IFERROR($AJ87/$AB87,0))</f>
        <v/>
      </c>
      <c r="AL87" s="38">
        <f>IF($A87="","",IF(OR($C87="Passed",$C87="Expired",$C87="Canceled"),$C87,IF($C87="Completed","Completed",IF(AND($O87&lt;='Settings'!$B$8,$AA87&gt;='Settings'!$B$10,$AJ87&gt;='Settings'!$B$9),IF($C87="Booked","Booked - Meets Targets","Meets Targets"),IF($C87="Booked","Booked - Below Target","Review")))))</f>
        <v/>
      </c>
      <c r="AM87" s="38">
        <f>IF($A87="","",IF(COUNTIF($A$6:$A$205,$A87)&gt;1,"Duplicate Load ID",IF(COUNTIF('Planner'!$A$6:$A$205,$B87)=0,"Trip ID not found",IF(($G87+$H87)&gt;($K87+$L87),"Check schedule",IF(MIN($N87,$O87,$P87,$Q87,$R87,$S87,$T87,$U87,$V87)&lt;0,"Negative value","OK")))))</f>
        <v/>
      </c>
    </row>
    <row r="88">
      <c r="A88" s="34" t="n"/>
      <c r="B88" s="34" t="n"/>
      <c r="C88" s="34" t="n"/>
      <c r="D88" s="34" t="n"/>
      <c r="E88" s="34" t="n"/>
      <c r="F88" s="34" t="n"/>
      <c r="G88" s="69" t="n"/>
      <c r="H88" s="36" t="n"/>
      <c r="I88" s="34" t="n"/>
      <c r="J88" s="34" t="n"/>
      <c r="K88" s="69" t="n"/>
      <c r="L88" s="36" t="n"/>
      <c r="M88" s="34" t="n"/>
      <c r="N88" s="75" t="n"/>
      <c r="O88" s="37" t="n"/>
      <c r="P88" s="37" t="n"/>
      <c r="Q88" s="37" t="n"/>
      <c r="R88" s="76" t="n"/>
      <c r="S88" s="77" t="n"/>
      <c r="T88" s="77" t="n"/>
      <c r="U88" s="77" t="n"/>
      <c r="V88" s="77" t="n"/>
      <c r="W88" s="34" t="n"/>
      <c r="X88" s="78" t="n"/>
      <c r="Y88" s="46" t="n"/>
      <c r="Z88" s="71">
        <f>IF($A88="","",SUM($S88:$U88))</f>
        <v/>
      </c>
      <c r="AA88" s="72">
        <f>IF($A88="","",IFERROR($Z88/$P88,0))</f>
        <v/>
      </c>
      <c r="AB88" s="41">
        <f>IF($A88="","",SUM($O88:$Q88))</f>
        <v/>
      </c>
      <c r="AC88" s="41">
        <f>IF($A88="","",IFERROR(INDEX('Planner'!$N$6:$N$205,MATCH($B88,'Planner'!$A$6:$A$205,0)),0))</f>
        <v/>
      </c>
      <c r="AD88" s="41">
        <f>IF($A88="","",$AC88-$O88-$Q88)</f>
        <v/>
      </c>
      <c r="AE88" s="41">
        <f>IF($A88="","",$AB88-$AC88)</f>
        <v/>
      </c>
      <c r="AF88" s="73">
        <f>IF($A88="","",IFERROR($AB88/'Settings'!$B$5,0))</f>
        <v/>
      </c>
      <c r="AG88" s="71">
        <f>IF($A88="","",$AF88*'Settings'!$B$4)</f>
        <v/>
      </c>
      <c r="AH88" s="71">
        <f>IF($A88="","",$AE88*'Settings'!$B$17)</f>
        <v/>
      </c>
      <c r="AI88" s="71">
        <f>IF($A88="","",$R88*'Settings'!$B$7)</f>
        <v/>
      </c>
      <c r="AJ88" s="71">
        <f>IF($A88="","",$Z88-$V88-$AH88-$AI88)</f>
        <v/>
      </c>
      <c r="AK88" s="72">
        <f>IF($A88="","",IFERROR($AJ88/$AB88,0))</f>
        <v/>
      </c>
      <c r="AL88" s="38">
        <f>IF($A88="","",IF(OR($C88="Passed",$C88="Expired",$C88="Canceled"),$C88,IF($C88="Completed","Completed",IF(AND($O88&lt;='Settings'!$B$8,$AA88&gt;='Settings'!$B$10,$AJ88&gt;='Settings'!$B$9),IF($C88="Booked","Booked - Meets Targets","Meets Targets"),IF($C88="Booked","Booked - Below Target","Review")))))</f>
        <v/>
      </c>
      <c r="AM88" s="38">
        <f>IF($A88="","",IF(COUNTIF($A$6:$A$205,$A88)&gt;1,"Duplicate Load ID",IF(COUNTIF('Planner'!$A$6:$A$205,$B88)=0,"Trip ID not found",IF(($G88+$H88)&gt;($K88+$L88),"Check schedule",IF(MIN($N88,$O88,$P88,$Q88,$R88,$S88,$T88,$U88,$V88)&lt;0,"Negative value","OK")))))</f>
        <v/>
      </c>
    </row>
    <row r="89">
      <c r="A89" s="34" t="n"/>
      <c r="B89" s="34" t="n"/>
      <c r="C89" s="34" t="n"/>
      <c r="D89" s="34" t="n"/>
      <c r="E89" s="34" t="n"/>
      <c r="F89" s="34" t="n"/>
      <c r="G89" s="69" t="n"/>
      <c r="H89" s="36" t="n"/>
      <c r="I89" s="34" t="n"/>
      <c r="J89" s="34" t="n"/>
      <c r="K89" s="69" t="n"/>
      <c r="L89" s="36" t="n"/>
      <c r="M89" s="34" t="n"/>
      <c r="N89" s="75" t="n"/>
      <c r="O89" s="37" t="n"/>
      <c r="P89" s="37" t="n"/>
      <c r="Q89" s="37" t="n"/>
      <c r="R89" s="76" t="n"/>
      <c r="S89" s="77" t="n"/>
      <c r="T89" s="77" t="n"/>
      <c r="U89" s="77" t="n"/>
      <c r="V89" s="77" t="n"/>
      <c r="W89" s="34" t="n"/>
      <c r="X89" s="78" t="n"/>
      <c r="Y89" s="46" t="n"/>
      <c r="Z89" s="71">
        <f>IF($A89="","",SUM($S89:$U89))</f>
        <v/>
      </c>
      <c r="AA89" s="72">
        <f>IF($A89="","",IFERROR($Z89/$P89,0))</f>
        <v/>
      </c>
      <c r="AB89" s="41">
        <f>IF($A89="","",SUM($O89:$Q89))</f>
        <v/>
      </c>
      <c r="AC89" s="41">
        <f>IF($A89="","",IFERROR(INDEX('Planner'!$N$6:$N$205,MATCH($B89,'Planner'!$A$6:$A$205,0)),0))</f>
        <v/>
      </c>
      <c r="AD89" s="41">
        <f>IF($A89="","",$AC89-$O89-$Q89)</f>
        <v/>
      </c>
      <c r="AE89" s="41">
        <f>IF($A89="","",$AB89-$AC89)</f>
        <v/>
      </c>
      <c r="AF89" s="73">
        <f>IF($A89="","",IFERROR($AB89/'Settings'!$B$5,0))</f>
        <v/>
      </c>
      <c r="AG89" s="71">
        <f>IF($A89="","",$AF89*'Settings'!$B$4)</f>
        <v/>
      </c>
      <c r="AH89" s="71">
        <f>IF($A89="","",$AE89*'Settings'!$B$17)</f>
        <v/>
      </c>
      <c r="AI89" s="71">
        <f>IF($A89="","",$R89*'Settings'!$B$7)</f>
        <v/>
      </c>
      <c r="AJ89" s="71">
        <f>IF($A89="","",$Z89-$V89-$AH89-$AI89)</f>
        <v/>
      </c>
      <c r="AK89" s="72">
        <f>IF($A89="","",IFERROR($AJ89/$AB89,0))</f>
        <v/>
      </c>
      <c r="AL89" s="38">
        <f>IF($A89="","",IF(OR($C89="Passed",$C89="Expired",$C89="Canceled"),$C89,IF($C89="Completed","Completed",IF(AND($O89&lt;='Settings'!$B$8,$AA89&gt;='Settings'!$B$10,$AJ89&gt;='Settings'!$B$9),IF($C89="Booked","Booked - Meets Targets","Meets Targets"),IF($C89="Booked","Booked - Below Target","Review")))))</f>
        <v/>
      </c>
      <c r="AM89" s="38">
        <f>IF($A89="","",IF(COUNTIF($A$6:$A$205,$A89)&gt;1,"Duplicate Load ID",IF(COUNTIF('Planner'!$A$6:$A$205,$B89)=0,"Trip ID not found",IF(($G89+$H89)&gt;($K89+$L89),"Check schedule",IF(MIN($N89,$O89,$P89,$Q89,$R89,$S89,$T89,$U89,$V89)&lt;0,"Negative value","OK")))))</f>
        <v/>
      </c>
    </row>
    <row r="90">
      <c r="A90" s="34" t="n"/>
      <c r="B90" s="34" t="n"/>
      <c r="C90" s="34" t="n"/>
      <c r="D90" s="34" t="n"/>
      <c r="E90" s="34" t="n"/>
      <c r="F90" s="34" t="n"/>
      <c r="G90" s="69" t="n"/>
      <c r="H90" s="36" t="n"/>
      <c r="I90" s="34" t="n"/>
      <c r="J90" s="34" t="n"/>
      <c r="K90" s="69" t="n"/>
      <c r="L90" s="36" t="n"/>
      <c r="M90" s="34" t="n"/>
      <c r="N90" s="75" t="n"/>
      <c r="O90" s="37" t="n"/>
      <c r="P90" s="37" t="n"/>
      <c r="Q90" s="37" t="n"/>
      <c r="R90" s="76" t="n"/>
      <c r="S90" s="77" t="n"/>
      <c r="T90" s="77" t="n"/>
      <c r="U90" s="77" t="n"/>
      <c r="V90" s="77" t="n"/>
      <c r="W90" s="34" t="n"/>
      <c r="X90" s="78" t="n"/>
      <c r="Y90" s="46" t="n"/>
      <c r="Z90" s="71">
        <f>IF($A90="","",SUM($S90:$U90))</f>
        <v/>
      </c>
      <c r="AA90" s="72">
        <f>IF($A90="","",IFERROR($Z90/$P90,0))</f>
        <v/>
      </c>
      <c r="AB90" s="41">
        <f>IF($A90="","",SUM($O90:$Q90))</f>
        <v/>
      </c>
      <c r="AC90" s="41">
        <f>IF($A90="","",IFERROR(INDEX('Planner'!$N$6:$N$205,MATCH($B90,'Planner'!$A$6:$A$205,0)),0))</f>
        <v/>
      </c>
      <c r="AD90" s="41">
        <f>IF($A90="","",$AC90-$O90-$Q90)</f>
        <v/>
      </c>
      <c r="AE90" s="41">
        <f>IF($A90="","",$AB90-$AC90)</f>
        <v/>
      </c>
      <c r="AF90" s="73">
        <f>IF($A90="","",IFERROR($AB90/'Settings'!$B$5,0))</f>
        <v/>
      </c>
      <c r="AG90" s="71">
        <f>IF($A90="","",$AF90*'Settings'!$B$4)</f>
        <v/>
      </c>
      <c r="AH90" s="71">
        <f>IF($A90="","",$AE90*'Settings'!$B$17)</f>
        <v/>
      </c>
      <c r="AI90" s="71">
        <f>IF($A90="","",$R90*'Settings'!$B$7)</f>
        <v/>
      </c>
      <c r="AJ90" s="71">
        <f>IF($A90="","",$Z90-$V90-$AH90-$AI90)</f>
        <v/>
      </c>
      <c r="AK90" s="72">
        <f>IF($A90="","",IFERROR($AJ90/$AB90,0))</f>
        <v/>
      </c>
      <c r="AL90" s="38">
        <f>IF($A90="","",IF(OR($C90="Passed",$C90="Expired",$C90="Canceled"),$C90,IF($C90="Completed","Completed",IF(AND($O90&lt;='Settings'!$B$8,$AA90&gt;='Settings'!$B$10,$AJ90&gt;='Settings'!$B$9),IF($C90="Booked","Booked - Meets Targets","Meets Targets"),IF($C90="Booked","Booked - Below Target","Review")))))</f>
        <v/>
      </c>
      <c r="AM90" s="38">
        <f>IF($A90="","",IF(COUNTIF($A$6:$A$205,$A90)&gt;1,"Duplicate Load ID",IF(COUNTIF('Planner'!$A$6:$A$205,$B90)=0,"Trip ID not found",IF(($G90+$H90)&gt;($K90+$L90),"Check schedule",IF(MIN($N90,$O90,$P90,$Q90,$R90,$S90,$T90,$U90,$V90)&lt;0,"Negative value","OK")))))</f>
        <v/>
      </c>
    </row>
    <row r="91">
      <c r="A91" s="34" t="n"/>
      <c r="B91" s="34" t="n"/>
      <c r="C91" s="34" t="n"/>
      <c r="D91" s="34" t="n"/>
      <c r="E91" s="34" t="n"/>
      <c r="F91" s="34" t="n"/>
      <c r="G91" s="69" t="n"/>
      <c r="H91" s="36" t="n"/>
      <c r="I91" s="34" t="n"/>
      <c r="J91" s="34" t="n"/>
      <c r="K91" s="69" t="n"/>
      <c r="L91" s="36" t="n"/>
      <c r="M91" s="34" t="n"/>
      <c r="N91" s="75" t="n"/>
      <c r="O91" s="37" t="n"/>
      <c r="P91" s="37" t="n"/>
      <c r="Q91" s="37" t="n"/>
      <c r="R91" s="76" t="n"/>
      <c r="S91" s="77" t="n"/>
      <c r="T91" s="77" t="n"/>
      <c r="U91" s="77" t="n"/>
      <c r="V91" s="77" t="n"/>
      <c r="W91" s="34" t="n"/>
      <c r="X91" s="78" t="n"/>
      <c r="Y91" s="46" t="n"/>
      <c r="Z91" s="71">
        <f>IF($A91="","",SUM($S91:$U91))</f>
        <v/>
      </c>
      <c r="AA91" s="72">
        <f>IF($A91="","",IFERROR($Z91/$P91,0))</f>
        <v/>
      </c>
      <c r="AB91" s="41">
        <f>IF($A91="","",SUM($O91:$Q91))</f>
        <v/>
      </c>
      <c r="AC91" s="41">
        <f>IF($A91="","",IFERROR(INDEX('Planner'!$N$6:$N$205,MATCH($B91,'Planner'!$A$6:$A$205,0)),0))</f>
        <v/>
      </c>
      <c r="AD91" s="41">
        <f>IF($A91="","",$AC91-$O91-$Q91)</f>
        <v/>
      </c>
      <c r="AE91" s="41">
        <f>IF($A91="","",$AB91-$AC91)</f>
        <v/>
      </c>
      <c r="AF91" s="73">
        <f>IF($A91="","",IFERROR($AB91/'Settings'!$B$5,0))</f>
        <v/>
      </c>
      <c r="AG91" s="71">
        <f>IF($A91="","",$AF91*'Settings'!$B$4)</f>
        <v/>
      </c>
      <c r="AH91" s="71">
        <f>IF($A91="","",$AE91*'Settings'!$B$17)</f>
        <v/>
      </c>
      <c r="AI91" s="71">
        <f>IF($A91="","",$R91*'Settings'!$B$7)</f>
        <v/>
      </c>
      <c r="AJ91" s="71">
        <f>IF($A91="","",$Z91-$V91-$AH91-$AI91)</f>
        <v/>
      </c>
      <c r="AK91" s="72">
        <f>IF($A91="","",IFERROR($AJ91/$AB91,0))</f>
        <v/>
      </c>
      <c r="AL91" s="38">
        <f>IF($A91="","",IF(OR($C91="Passed",$C91="Expired",$C91="Canceled"),$C91,IF($C91="Completed","Completed",IF(AND($O91&lt;='Settings'!$B$8,$AA91&gt;='Settings'!$B$10,$AJ91&gt;='Settings'!$B$9),IF($C91="Booked","Booked - Meets Targets","Meets Targets"),IF($C91="Booked","Booked - Below Target","Review")))))</f>
        <v/>
      </c>
      <c r="AM91" s="38">
        <f>IF($A91="","",IF(COUNTIF($A$6:$A$205,$A91)&gt;1,"Duplicate Load ID",IF(COUNTIF('Planner'!$A$6:$A$205,$B91)=0,"Trip ID not found",IF(($G91+$H91)&gt;($K91+$L91),"Check schedule",IF(MIN($N91,$O91,$P91,$Q91,$R91,$S91,$T91,$U91,$V91)&lt;0,"Negative value","OK")))))</f>
        <v/>
      </c>
    </row>
    <row r="92">
      <c r="A92" s="34" t="n"/>
      <c r="B92" s="34" t="n"/>
      <c r="C92" s="34" t="n"/>
      <c r="D92" s="34" t="n"/>
      <c r="E92" s="34" t="n"/>
      <c r="F92" s="34" t="n"/>
      <c r="G92" s="69" t="n"/>
      <c r="H92" s="36" t="n"/>
      <c r="I92" s="34" t="n"/>
      <c r="J92" s="34" t="n"/>
      <c r="K92" s="69" t="n"/>
      <c r="L92" s="36" t="n"/>
      <c r="M92" s="34" t="n"/>
      <c r="N92" s="75" t="n"/>
      <c r="O92" s="37" t="n"/>
      <c r="P92" s="37" t="n"/>
      <c r="Q92" s="37" t="n"/>
      <c r="R92" s="76" t="n"/>
      <c r="S92" s="77" t="n"/>
      <c r="T92" s="77" t="n"/>
      <c r="U92" s="77" t="n"/>
      <c r="V92" s="77" t="n"/>
      <c r="W92" s="34" t="n"/>
      <c r="X92" s="78" t="n"/>
      <c r="Y92" s="46" t="n"/>
      <c r="Z92" s="71">
        <f>IF($A92="","",SUM($S92:$U92))</f>
        <v/>
      </c>
      <c r="AA92" s="72">
        <f>IF($A92="","",IFERROR($Z92/$P92,0))</f>
        <v/>
      </c>
      <c r="AB92" s="41">
        <f>IF($A92="","",SUM($O92:$Q92))</f>
        <v/>
      </c>
      <c r="AC92" s="41">
        <f>IF($A92="","",IFERROR(INDEX('Planner'!$N$6:$N$205,MATCH($B92,'Planner'!$A$6:$A$205,0)),0))</f>
        <v/>
      </c>
      <c r="AD92" s="41">
        <f>IF($A92="","",$AC92-$O92-$Q92)</f>
        <v/>
      </c>
      <c r="AE92" s="41">
        <f>IF($A92="","",$AB92-$AC92)</f>
        <v/>
      </c>
      <c r="AF92" s="73">
        <f>IF($A92="","",IFERROR($AB92/'Settings'!$B$5,0))</f>
        <v/>
      </c>
      <c r="AG92" s="71">
        <f>IF($A92="","",$AF92*'Settings'!$B$4)</f>
        <v/>
      </c>
      <c r="AH92" s="71">
        <f>IF($A92="","",$AE92*'Settings'!$B$17)</f>
        <v/>
      </c>
      <c r="AI92" s="71">
        <f>IF($A92="","",$R92*'Settings'!$B$7)</f>
        <v/>
      </c>
      <c r="AJ92" s="71">
        <f>IF($A92="","",$Z92-$V92-$AH92-$AI92)</f>
        <v/>
      </c>
      <c r="AK92" s="72">
        <f>IF($A92="","",IFERROR($AJ92/$AB92,0))</f>
        <v/>
      </c>
      <c r="AL92" s="38">
        <f>IF($A92="","",IF(OR($C92="Passed",$C92="Expired",$C92="Canceled"),$C92,IF($C92="Completed","Completed",IF(AND($O92&lt;='Settings'!$B$8,$AA92&gt;='Settings'!$B$10,$AJ92&gt;='Settings'!$B$9),IF($C92="Booked","Booked - Meets Targets","Meets Targets"),IF($C92="Booked","Booked - Below Target","Review")))))</f>
        <v/>
      </c>
      <c r="AM92" s="38">
        <f>IF($A92="","",IF(COUNTIF($A$6:$A$205,$A92)&gt;1,"Duplicate Load ID",IF(COUNTIF('Planner'!$A$6:$A$205,$B92)=0,"Trip ID not found",IF(($G92+$H92)&gt;($K92+$L92),"Check schedule",IF(MIN($N92,$O92,$P92,$Q92,$R92,$S92,$T92,$U92,$V92)&lt;0,"Negative value","OK")))))</f>
        <v/>
      </c>
    </row>
    <row r="93">
      <c r="A93" s="34" t="n"/>
      <c r="B93" s="34" t="n"/>
      <c r="C93" s="34" t="n"/>
      <c r="D93" s="34" t="n"/>
      <c r="E93" s="34" t="n"/>
      <c r="F93" s="34" t="n"/>
      <c r="G93" s="69" t="n"/>
      <c r="H93" s="36" t="n"/>
      <c r="I93" s="34" t="n"/>
      <c r="J93" s="34" t="n"/>
      <c r="K93" s="69" t="n"/>
      <c r="L93" s="36" t="n"/>
      <c r="M93" s="34" t="n"/>
      <c r="N93" s="75" t="n"/>
      <c r="O93" s="37" t="n"/>
      <c r="P93" s="37" t="n"/>
      <c r="Q93" s="37" t="n"/>
      <c r="R93" s="76" t="n"/>
      <c r="S93" s="77" t="n"/>
      <c r="T93" s="77" t="n"/>
      <c r="U93" s="77" t="n"/>
      <c r="V93" s="77" t="n"/>
      <c r="W93" s="34" t="n"/>
      <c r="X93" s="78" t="n"/>
      <c r="Y93" s="46" t="n"/>
      <c r="Z93" s="71">
        <f>IF($A93="","",SUM($S93:$U93))</f>
        <v/>
      </c>
      <c r="AA93" s="72">
        <f>IF($A93="","",IFERROR($Z93/$P93,0))</f>
        <v/>
      </c>
      <c r="AB93" s="41">
        <f>IF($A93="","",SUM($O93:$Q93))</f>
        <v/>
      </c>
      <c r="AC93" s="41">
        <f>IF($A93="","",IFERROR(INDEX('Planner'!$N$6:$N$205,MATCH($B93,'Planner'!$A$6:$A$205,0)),0))</f>
        <v/>
      </c>
      <c r="AD93" s="41">
        <f>IF($A93="","",$AC93-$O93-$Q93)</f>
        <v/>
      </c>
      <c r="AE93" s="41">
        <f>IF($A93="","",$AB93-$AC93)</f>
        <v/>
      </c>
      <c r="AF93" s="73">
        <f>IF($A93="","",IFERROR($AB93/'Settings'!$B$5,0))</f>
        <v/>
      </c>
      <c r="AG93" s="71">
        <f>IF($A93="","",$AF93*'Settings'!$B$4)</f>
        <v/>
      </c>
      <c r="AH93" s="71">
        <f>IF($A93="","",$AE93*'Settings'!$B$17)</f>
        <v/>
      </c>
      <c r="AI93" s="71">
        <f>IF($A93="","",$R93*'Settings'!$B$7)</f>
        <v/>
      </c>
      <c r="AJ93" s="71">
        <f>IF($A93="","",$Z93-$V93-$AH93-$AI93)</f>
        <v/>
      </c>
      <c r="AK93" s="72">
        <f>IF($A93="","",IFERROR($AJ93/$AB93,0))</f>
        <v/>
      </c>
      <c r="AL93" s="38">
        <f>IF($A93="","",IF(OR($C93="Passed",$C93="Expired",$C93="Canceled"),$C93,IF($C93="Completed","Completed",IF(AND($O93&lt;='Settings'!$B$8,$AA93&gt;='Settings'!$B$10,$AJ93&gt;='Settings'!$B$9),IF($C93="Booked","Booked - Meets Targets","Meets Targets"),IF($C93="Booked","Booked - Below Target","Review")))))</f>
        <v/>
      </c>
      <c r="AM93" s="38">
        <f>IF($A93="","",IF(COUNTIF($A$6:$A$205,$A93)&gt;1,"Duplicate Load ID",IF(COUNTIF('Planner'!$A$6:$A$205,$B93)=0,"Trip ID not found",IF(($G93+$H93)&gt;($K93+$L93),"Check schedule",IF(MIN($N93,$O93,$P93,$Q93,$R93,$S93,$T93,$U93,$V93)&lt;0,"Negative value","OK")))))</f>
        <v/>
      </c>
    </row>
    <row r="94">
      <c r="A94" s="34" t="n"/>
      <c r="B94" s="34" t="n"/>
      <c r="C94" s="34" t="n"/>
      <c r="D94" s="34" t="n"/>
      <c r="E94" s="34" t="n"/>
      <c r="F94" s="34" t="n"/>
      <c r="G94" s="69" t="n"/>
      <c r="H94" s="36" t="n"/>
      <c r="I94" s="34" t="n"/>
      <c r="J94" s="34" t="n"/>
      <c r="K94" s="69" t="n"/>
      <c r="L94" s="36" t="n"/>
      <c r="M94" s="34" t="n"/>
      <c r="N94" s="75" t="n"/>
      <c r="O94" s="37" t="n"/>
      <c r="P94" s="37" t="n"/>
      <c r="Q94" s="37" t="n"/>
      <c r="R94" s="76" t="n"/>
      <c r="S94" s="77" t="n"/>
      <c r="T94" s="77" t="n"/>
      <c r="U94" s="77" t="n"/>
      <c r="V94" s="77" t="n"/>
      <c r="W94" s="34" t="n"/>
      <c r="X94" s="78" t="n"/>
      <c r="Y94" s="46" t="n"/>
      <c r="Z94" s="71">
        <f>IF($A94="","",SUM($S94:$U94))</f>
        <v/>
      </c>
      <c r="AA94" s="72">
        <f>IF($A94="","",IFERROR($Z94/$P94,0))</f>
        <v/>
      </c>
      <c r="AB94" s="41">
        <f>IF($A94="","",SUM($O94:$Q94))</f>
        <v/>
      </c>
      <c r="AC94" s="41">
        <f>IF($A94="","",IFERROR(INDEX('Planner'!$N$6:$N$205,MATCH($B94,'Planner'!$A$6:$A$205,0)),0))</f>
        <v/>
      </c>
      <c r="AD94" s="41">
        <f>IF($A94="","",$AC94-$O94-$Q94)</f>
        <v/>
      </c>
      <c r="AE94" s="41">
        <f>IF($A94="","",$AB94-$AC94)</f>
        <v/>
      </c>
      <c r="AF94" s="73">
        <f>IF($A94="","",IFERROR($AB94/'Settings'!$B$5,0))</f>
        <v/>
      </c>
      <c r="AG94" s="71">
        <f>IF($A94="","",$AF94*'Settings'!$B$4)</f>
        <v/>
      </c>
      <c r="AH94" s="71">
        <f>IF($A94="","",$AE94*'Settings'!$B$17)</f>
        <v/>
      </c>
      <c r="AI94" s="71">
        <f>IF($A94="","",$R94*'Settings'!$B$7)</f>
        <v/>
      </c>
      <c r="AJ94" s="71">
        <f>IF($A94="","",$Z94-$V94-$AH94-$AI94)</f>
        <v/>
      </c>
      <c r="AK94" s="72">
        <f>IF($A94="","",IFERROR($AJ94/$AB94,0))</f>
        <v/>
      </c>
      <c r="AL94" s="38">
        <f>IF($A94="","",IF(OR($C94="Passed",$C94="Expired",$C94="Canceled"),$C94,IF($C94="Completed","Completed",IF(AND($O94&lt;='Settings'!$B$8,$AA94&gt;='Settings'!$B$10,$AJ94&gt;='Settings'!$B$9),IF($C94="Booked","Booked - Meets Targets","Meets Targets"),IF($C94="Booked","Booked - Below Target","Review")))))</f>
        <v/>
      </c>
      <c r="AM94" s="38">
        <f>IF($A94="","",IF(COUNTIF($A$6:$A$205,$A94)&gt;1,"Duplicate Load ID",IF(COUNTIF('Planner'!$A$6:$A$205,$B94)=0,"Trip ID not found",IF(($G94+$H94)&gt;($K94+$L94),"Check schedule",IF(MIN($N94,$O94,$P94,$Q94,$R94,$S94,$T94,$U94,$V94)&lt;0,"Negative value","OK")))))</f>
        <v/>
      </c>
    </row>
    <row r="95">
      <c r="A95" s="34" t="n"/>
      <c r="B95" s="34" t="n"/>
      <c r="C95" s="34" t="n"/>
      <c r="D95" s="34" t="n"/>
      <c r="E95" s="34" t="n"/>
      <c r="F95" s="34" t="n"/>
      <c r="G95" s="69" t="n"/>
      <c r="H95" s="36" t="n"/>
      <c r="I95" s="34" t="n"/>
      <c r="J95" s="34" t="n"/>
      <c r="K95" s="69" t="n"/>
      <c r="L95" s="36" t="n"/>
      <c r="M95" s="34" t="n"/>
      <c r="N95" s="75" t="n"/>
      <c r="O95" s="37" t="n"/>
      <c r="P95" s="37" t="n"/>
      <c r="Q95" s="37" t="n"/>
      <c r="R95" s="76" t="n"/>
      <c r="S95" s="77" t="n"/>
      <c r="T95" s="77" t="n"/>
      <c r="U95" s="77" t="n"/>
      <c r="V95" s="77" t="n"/>
      <c r="W95" s="34" t="n"/>
      <c r="X95" s="78" t="n"/>
      <c r="Y95" s="46" t="n"/>
      <c r="Z95" s="71">
        <f>IF($A95="","",SUM($S95:$U95))</f>
        <v/>
      </c>
      <c r="AA95" s="72">
        <f>IF($A95="","",IFERROR($Z95/$P95,0))</f>
        <v/>
      </c>
      <c r="AB95" s="41">
        <f>IF($A95="","",SUM($O95:$Q95))</f>
        <v/>
      </c>
      <c r="AC95" s="41">
        <f>IF($A95="","",IFERROR(INDEX('Planner'!$N$6:$N$205,MATCH($B95,'Planner'!$A$6:$A$205,0)),0))</f>
        <v/>
      </c>
      <c r="AD95" s="41">
        <f>IF($A95="","",$AC95-$O95-$Q95)</f>
        <v/>
      </c>
      <c r="AE95" s="41">
        <f>IF($A95="","",$AB95-$AC95)</f>
        <v/>
      </c>
      <c r="AF95" s="73">
        <f>IF($A95="","",IFERROR($AB95/'Settings'!$B$5,0))</f>
        <v/>
      </c>
      <c r="AG95" s="71">
        <f>IF($A95="","",$AF95*'Settings'!$B$4)</f>
        <v/>
      </c>
      <c r="AH95" s="71">
        <f>IF($A95="","",$AE95*'Settings'!$B$17)</f>
        <v/>
      </c>
      <c r="AI95" s="71">
        <f>IF($A95="","",$R95*'Settings'!$B$7)</f>
        <v/>
      </c>
      <c r="AJ95" s="71">
        <f>IF($A95="","",$Z95-$V95-$AH95-$AI95)</f>
        <v/>
      </c>
      <c r="AK95" s="72">
        <f>IF($A95="","",IFERROR($AJ95/$AB95,0))</f>
        <v/>
      </c>
      <c r="AL95" s="38">
        <f>IF($A95="","",IF(OR($C95="Passed",$C95="Expired",$C95="Canceled"),$C95,IF($C95="Completed","Completed",IF(AND($O95&lt;='Settings'!$B$8,$AA95&gt;='Settings'!$B$10,$AJ95&gt;='Settings'!$B$9),IF($C95="Booked","Booked - Meets Targets","Meets Targets"),IF($C95="Booked","Booked - Below Target","Review")))))</f>
        <v/>
      </c>
      <c r="AM95" s="38">
        <f>IF($A95="","",IF(COUNTIF($A$6:$A$205,$A95)&gt;1,"Duplicate Load ID",IF(COUNTIF('Planner'!$A$6:$A$205,$B95)=0,"Trip ID not found",IF(($G95+$H95)&gt;($K95+$L95),"Check schedule",IF(MIN($N95,$O95,$P95,$Q95,$R95,$S95,$T95,$U95,$V95)&lt;0,"Negative value","OK")))))</f>
        <v/>
      </c>
    </row>
    <row r="96">
      <c r="A96" s="34" t="n"/>
      <c r="B96" s="34" t="n"/>
      <c r="C96" s="34" t="n"/>
      <c r="D96" s="34" t="n"/>
      <c r="E96" s="34" t="n"/>
      <c r="F96" s="34" t="n"/>
      <c r="G96" s="69" t="n"/>
      <c r="H96" s="36" t="n"/>
      <c r="I96" s="34" t="n"/>
      <c r="J96" s="34" t="n"/>
      <c r="K96" s="69" t="n"/>
      <c r="L96" s="36" t="n"/>
      <c r="M96" s="34" t="n"/>
      <c r="N96" s="75" t="n"/>
      <c r="O96" s="37" t="n"/>
      <c r="P96" s="37" t="n"/>
      <c r="Q96" s="37" t="n"/>
      <c r="R96" s="76" t="n"/>
      <c r="S96" s="77" t="n"/>
      <c r="T96" s="77" t="n"/>
      <c r="U96" s="77" t="n"/>
      <c r="V96" s="77" t="n"/>
      <c r="W96" s="34" t="n"/>
      <c r="X96" s="78" t="n"/>
      <c r="Y96" s="46" t="n"/>
      <c r="Z96" s="71">
        <f>IF($A96="","",SUM($S96:$U96))</f>
        <v/>
      </c>
      <c r="AA96" s="72">
        <f>IF($A96="","",IFERROR($Z96/$P96,0))</f>
        <v/>
      </c>
      <c r="AB96" s="41">
        <f>IF($A96="","",SUM($O96:$Q96))</f>
        <v/>
      </c>
      <c r="AC96" s="41">
        <f>IF($A96="","",IFERROR(INDEX('Planner'!$N$6:$N$205,MATCH($B96,'Planner'!$A$6:$A$205,0)),0))</f>
        <v/>
      </c>
      <c r="AD96" s="41">
        <f>IF($A96="","",$AC96-$O96-$Q96)</f>
        <v/>
      </c>
      <c r="AE96" s="41">
        <f>IF($A96="","",$AB96-$AC96)</f>
        <v/>
      </c>
      <c r="AF96" s="73">
        <f>IF($A96="","",IFERROR($AB96/'Settings'!$B$5,0))</f>
        <v/>
      </c>
      <c r="AG96" s="71">
        <f>IF($A96="","",$AF96*'Settings'!$B$4)</f>
        <v/>
      </c>
      <c r="AH96" s="71">
        <f>IF($A96="","",$AE96*'Settings'!$B$17)</f>
        <v/>
      </c>
      <c r="AI96" s="71">
        <f>IF($A96="","",$R96*'Settings'!$B$7)</f>
        <v/>
      </c>
      <c r="AJ96" s="71">
        <f>IF($A96="","",$Z96-$V96-$AH96-$AI96)</f>
        <v/>
      </c>
      <c r="AK96" s="72">
        <f>IF($A96="","",IFERROR($AJ96/$AB96,0))</f>
        <v/>
      </c>
      <c r="AL96" s="38">
        <f>IF($A96="","",IF(OR($C96="Passed",$C96="Expired",$C96="Canceled"),$C96,IF($C96="Completed","Completed",IF(AND($O96&lt;='Settings'!$B$8,$AA96&gt;='Settings'!$B$10,$AJ96&gt;='Settings'!$B$9),IF($C96="Booked","Booked - Meets Targets","Meets Targets"),IF($C96="Booked","Booked - Below Target","Review")))))</f>
        <v/>
      </c>
      <c r="AM96" s="38">
        <f>IF($A96="","",IF(COUNTIF($A$6:$A$205,$A96)&gt;1,"Duplicate Load ID",IF(COUNTIF('Planner'!$A$6:$A$205,$B96)=0,"Trip ID not found",IF(($G96+$H96)&gt;($K96+$L96),"Check schedule",IF(MIN($N96,$O96,$P96,$Q96,$R96,$S96,$T96,$U96,$V96)&lt;0,"Negative value","OK")))))</f>
        <v/>
      </c>
    </row>
    <row r="97">
      <c r="A97" s="34" t="n"/>
      <c r="B97" s="34" t="n"/>
      <c r="C97" s="34" t="n"/>
      <c r="D97" s="34" t="n"/>
      <c r="E97" s="34" t="n"/>
      <c r="F97" s="34" t="n"/>
      <c r="G97" s="69" t="n"/>
      <c r="H97" s="36" t="n"/>
      <c r="I97" s="34" t="n"/>
      <c r="J97" s="34" t="n"/>
      <c r="K97" s="69" t="n"/>
      <c r="L97" s="36" t="n"/>
      <c r="M97" s="34" t="n"/>
      <c r="N97" s="75" t="n"/>
      <c r="O97" s="37" t="n"/>
      <c r="P97" s="37" t="n"/>
      <c r="Q97" s="37" t="n"/>
      <c r="R97" s="76" t="n"/>
      <c r="S97" s="77" t="n"/>
      <c r="T97" s="77" t="n"/>
      <c r="U97" s="77" t="n"/>
      <c r="V97" s="77" t="n"/>
      <c r="W97" s="34" t="n"/>
      <c r="X97" s="78" t="n"/>
      <c r="Y97" s="46" t="n"/>
      <c r="Z97" s="71">
        <f>IF($A97="","",SUM($S97:$U97))</f>
        <v/>
      </c>
      <c r="AA97" s="72">
        <f>IF($A97="","",IFERROR($Z97/$P97,0))</f>
        <v/>
      </c>
      <c r="AB97" s="41">
        <f>IF($A97="","",SUM($O97:$Q97))</f>
        <v/>
      </c>
      <c r="AC97" s="41">
        <f>IF($A97="","",IFERROR(INDEX('Planner'!$N$6:$N$205,MATCH($B97,'Planner'!$A$6:$A$205,0)),0))</f>
        <v/>
      </c>
      <c r="AD97" s="41">
        <f>IF($A97="","",$AC97-$O97-$Q97)</f>
        <v/>
      </c>
      <c r="AE97" s="41">
        <f>IF($A97="","",$AB97-$AC97)</f>
        <v/>
      </c>
      <c r="AF97" s="73">
        <f>IF($A97="","",IFERROR($AB97/'Settings'!$B$5,0))</f>
        <v/>
      </c>
      <c r="AG97" s="71">
        <f>IF($A97="","",$AF97*'Settings'!$B$4)</f>
        <v/>
      </c>
      <c r="AH97" s="71">
        <f>IF($A97="","",$AE97*'Settings'!$B$17)</f>
        <v/>
      </c>
      <c r="AI97" s="71">
        <f>IF($A97="","",$R97*'Settings'!$B$7)</f>
        <v/>
      </c>
      <c r="AJ97" s="71">
        <f>IF($A97="","",$Z97-$V97-$AH97-$AI97)</f>
        <v/>
      </c>
      <c r="AK97" s="72">
        <f>IF($A97="","",IFERROR($AJ97/$AB97,0))</f>
        <v/>
      </c>
      <c r="AL97" s="38">
        <f>IF($A97="","",IF(OR($C97="Passed",$C97="Expired",$C97="Canceled"),$C97,IF($C97="Completed","Completed",IF(AND($O97&lt;='Settings'!$B$8,$AA97&gt;='Settings'!$B$10,$AJ97&gt;='Settings'!$B$9),IF($C97="Booked","Booked - Meets Targets","Meets Targets"),IF($C97="Booked","Booked - Below Target","Review")))))</f>
        <v/>
      </c>
      <c r="AM97" s="38">
        <f>IF($A97="","",IF(COUNTIF($A$6:$A$205,$A97)&gt;1,"Duplicate Load ID",IF(COUNTIF('Planner'!$A$6:$A$205,$B97)=0,"Trip ID not found",IF(($G97+$H97)&gt;($K97+$L97),"Check schedule",IF(MIN($N97,$O97,$P97,$Q97,$R97,$S97,$T97,$U97,$V97)&lt;0,"Negative value","OK")))))</f>
        <v/>
      </c>
    </row>
    <row r="98">
      <c r="A98" s="34" t="n"/>
      <c r="B98" s="34" t="n"/>
      <c r="C98" s="34" t="n"/>
      <c r="D98" s="34" t="n"/>
      <c r="E98" s="34" t="n"/>
      <c r="F98" s="34" t="n"/>
      <c r="G98" s="69" t="n"/>
      <c r="H98" s="36" t="n"/>
      <c r="I98" s="34" t="n"/>
      <c r="J98" s="34" t="n"/>
      <c r="K98" s="69" t="n"/>
      <c r="L98" s="36" t="n"/>
      <c r="M98" s="34" t="n"/>
      <c r="N98" s="75" t="n"/>
      <c r="O98" s="37" t="n"/>
      <c r="P98" s="37" t="n"/>
      <c r="Q98" s="37" t="n"/>
      <c r="R98" s="76" t="n"/>
      <c r="S98" s="77" t="n"/>
      <c r="T98" s="77" t="n"/>
      <c r="U98" s="77" t="n"/>
      <c r="V98" s="77" t="n"/>
      <c r="W98" s="34" t="n"/>
      <c r="X98" s="78" t="n"/>
      <c r="Y98" s="46" t="n"/>
      <c r="Z98" s="71">
        <f>IF($A98="","",SUM($S98:$U98))</f>
        <v/>
      </c>
      <c r="AA98" s="72">
        <f>IF($A98="","",IFERROR($Z98/$P98,0))</f>
        <v/>
      </c>
      <c r="AB98" s="41">
        <f>IF($A98="","",SUM($O98:$Q98))</f>
        <v/>
      </c>
      <c r="AC98" s="41">
        <f>IF($A98="","",IFERROR(INDEX('Planner'!$N$6:$N$205,MATCH($B98,'Planner'!$A$6:$A$205,0)),0))</f>
        <v/>
      </c>
      <c r="AD98" s="41">
        <f>IF($A98="","",$AC98-$O98-$Q98)</f>
        <v/>
      </c>
      <c r="AE98" s="41">
        <f>IF($A98="","",$AB98-$AC98)</f>
        <v/>
      </c>
      <c r="AF98" s="73">
        <f>IF($A98="","",IFERROR($AB98/'Settings'!$B$5,0))</f>
        <v/>
      </c>
      <c r="AG98" s="71">
        <f>IF($A98="","",$AF98*'Settings'!$B$4)</f>
        <v/>
      </c>
      <c r="AH98" s="71">
        <f>IF($A98="","",$AE98*'Settings'!$B$17)</f>
        <v/>
      </c>
      <c r="AI98" s="71">
        <f>IF($A98="","",$R98*'Settings'!$B$7)</f>
        <v/>
      </c>
      <c r="AJ98" s="71">
        <f>IF($A98="","",$Z98-$V98-$AH98-$AI98)</f>
        <v/>
      </c>
      <c r="AK98" s="72">
        <f>IF($A98="","",IFERROR($AJ98/$AB98,0))</f>
        <v/>
      </c>
      <c r="AL98" s="38">
        <f>IF($A98="","",IF(OR($C98="Passed",$C98="Expired",$C98="Canceled"),$C98,IF($C98="Completed","Completed",IF(AND($O98&lt;='Settings'!$B$8,$AA98&gt;='Settings'!$B$10,$AJ98&gt;='Settings'!$B$9),IF($C98="Booked","Booked - Meets Targets","Meets Targets"),IF($C98="Booked","Booked - Below Target","Review")))))</f>
        <v/>
      </c>
      <c r="AM98" s="38">
        <f>IF($A98="","",IF(COUNTIF($A$6:$A$205,$A98)&gt;1,"Duplicate Load ID",IF(COUNTIF('Planner'!$A$6:$A$205,$B98)=0,"Trip ID not found",IF(($G98+$H98)&gt;($K98+$L98),"Check schedule",IF(MIN($N98,$O98,$P98,$Q98,$R98,$S98,$T98,$U98,$V98)&lt;0,"Negative value","OK")))))</f>
        <v/>
      </c>
    </row>
    <row r="99">
      <c r="A99" s="34" t="n"/>
      <c r="B99" s="34" t="n"/>
      <c r="C99" s="34" t="n"/>
      <c r="D99" s="34" t="n"/>
      <c r="E99" s="34" t="n"/>
      <c r="F99" s="34" t="n"/>
      <c r="G99" s="69" t="n"/>
      <c r="H99" s="36" t="n"/>
      <c r="I99" s="34" t="n"/>
      <c r="J99" s="34" t="n"/>
      <c r="K99" s="69" t="n"/>
      <c r="L99" s="36" t="n"/>
      <c r="M99" s="34" t="n"/>
      <c r="N99" s="75" t="n"/>
      <c r="O99" s="37" t="n"/>
      <c r="P99" s="37" t="n"/>
      <c r="Q99" s="37" t="n"/>
      <c r="R99" s="76" t="n"/>
      <c r="S99" s="77" t="n"/>
      <c r="T99" s="77" t="n"/>
      <c r="U99" s="77" t="n"/>
      <c r="V99" s="77" t="n"/>
      <c r="W99" s="34" t="n"/>
      <c r="X99" s="78" t="n"/>
      <c r="Y99" s="46" t="n"/>
      <c r="Z99" s="71">
        <f>IF($A99="","",SUM($S99:$U99))</f>
        <v/>
      </c>
      <c r="AA99" s="72">
        <f>IF($A99="","",IFERROR($Z99/$P99,0))</f>
        <v/>
      </c>
      <c r="AB99" s="41">
        <f>IF($A99="","",SUM($O99:$Q99))</f>
        <v/>
      </c>
      <c r="AC99" s="41">
        <f>IF($A99="","",IFERROR(INDEX('Planner'!$N$6:$N$205,MATCH($B99,'Planner'!$A$6:$A$205,0)),0))</f>
        <v/>
      </c>
      <c r="AD99" s="41">
        <f>IF($A99="","",$AC99-$O99-$Q99)</f>
        <v/>
      </c>
      <c r="AE99" s="41">
        <f>IF($A99="","",$AB99-$AC99)</f>
        <v/>
      </c>
      <c r="AF99" s="73">
        <f>IF($A99="","",IFERROR($AB99/'Settings'!$B$5,0))</f>
        <v/>
      </c>
      <c r="AG99" s="71">
        <f>IF($A99="","",$AF99*'Settings'!$B$4)</f>
        <v/>
      </c>
      <c r="AH99" s="71">
        <f>IF($A99="","",$AE99*'Settings'!$B$17)</f>
        <v/>
      </c>
      <c r="AI99" s="71">
        <f>IF($A99="","",$R99*'Settings'!$B$7)</f>
        <v/>
      </c>
      <c r="AJ99" s="71">
        <f>IF($A99="","",$Z99-$V99-$AH99-$AI99)</f>
        <v/>
      </c>
      <c r="AK99" s="72">
        <f>IF($A99="","",IFERROR($AJ99/$AB99,0))</f>
        <v/>
      </c>
      <c r="AL99" s="38">
        <f>IF($A99="","",IF(OR($C99="Passed",$C99="Expired",$C99="Canceled"),$C99,IF($C99="Completed","Completed",IF(AND($O99&lt;='Settings'!$B$8,$AA99&gt;='Settings'!$B$10,$AJ99&gt;='Settings'!$B$9),IF($C99="Booked","Booked - Meets Targets","Meets Targets"),IF($C99="Booked","Booked - Below Target","Review")))))</f>
        <v/>
      </c>
      <c r="AM99" s="38">
        <f>IF($A99="","",IF(COUNTIF($A$6:$A$205,$A99)&gt;1,"Duplicate Load ID",IF(COUNTIF('Planner'!$A$6:$A$205,$B99)=0,"Trip ID not found",IF(($G99+$H99)&gt;($K99+$L99),"Check schedule",IF(MIN($N99,$O99,$P99,$Q99,$R99,$S99,$T99,$U99,$V99)&lt;0,"Negative value","OK")))))</f>
        <v/>
      </c>
    </row>
    <row r="100">
      <c r="A100" s="34" t="n"/>
      <c r="B100" s="34" t="n"/>
      <c r="C100" s="34" t="n"/>
      <c r="D100" s="34" t="n"/>
      <c r="E100" s="34" t="n"/>
      <c r="F100" s="34" t="n"/>
      <c r="G100" s="69" t="n"/>
      <c r="H100" s="36" t="n"/>
      <c r="I100" s="34" t="n"/>
      <c r="J100" s="34" t="n"/>
      <c r="K100" s="69" t="n"/>
      <c r="L100" s="36" t="n"/>
      <c r="M100" s="34" t="n"/>
      <c r="N100" s="75" t="n"/>
      <c r="O100" s="37" t="n"/>
      <c r="P100" s="37" t="n"/>
      <c r="Q100" s="37" t="n"/>
      <c r="R100" s="76" t="n"/>
      <c r="S100" s="77" t="n"/>
      <c r="T100" s="77" t="n"/>
      <c r="U100" s="77" t="n"/>
      <c r="V100" s="77" t="n"/>
      <c r="W100" s="34" t="n"/>
      <c r="X100" s="78" t="n"/>
      <c r="Y100" s="46" t="n"/>
      <c r="Z100" s="71">
        <f>IF($A100="","",SUM($S100:$U100))</f>
        <v/>
      </c>
      <c r="AA100" s="72">
        <f>IF($A100="","",IFERROR($Z100/$P100,0))</f>
        <v/>
      </c>
      <c r="AB100" s="41">
        <f>IF($A100="","",SUM($O100:$Q100))</f>
        <v/>
      </c>
      <c r="AC100" s="41">
        <f>IF($A100="","",IFERROR(INDEX('Planner'!$N$6:$N$205,MATCH($B100,'Planner'!$A$6:$A$205,0)),0))</f>
        <v/>
      </c>
      <c r="AD100" s="41">
        <f>IF($A100="","",$AC100-$O100-$Q100)</f>
        <v/>
      </c>
      <c r="AE100" s="41">
        <f>IF($A100="","",$AB100-$AC100)</f>
        <v/>
      </c>
      <c r="AF100" s="73">
        <f>IF($A100="","",IFERROR($AB100/'Settings'!$B$5,0))</f>
        <v/>
      </c>
      <c r="AG100" s="71">
        <f>IF($A100="","",$AF100*'Settings'!$B$4)</f>
        <v/>
      </c>
      <c r="AH100" s="71">
        <f>IF($A100="","",$AE100*'Settings'!$B$17)</f>
        <v/>
      </c>
      <c r="AI100" s="71">
        <f>IF($A100="","",$R100*'Settings'!$B$7)</f>
        <v/>
      </c>
      <c r="AJ100" s="71">
        <f>IF($A100="","",$Z100-$V100-$AH100-$AI100)</f>
        <v/>
      </c>
      <c r="AK100" s="72">
        <f>IF($A100="","",IFERROR($AJ100/$AB100,0))</f>
        <v/>
      </c>
      <c r="AL100" s="38">
        <f>IF($A100="","",IF(OR($C100="Passed",$C100="Expired",$C100="Canceled"),$C100,IF($C100="Completed","Completed",IF(AND($O100&lt;='Settings'!$B$8,$AA100&gt;='Settings'!$B$10,$AJ100&gt;='Settings'!$B$9),IF($C100="Booked","Booked - Meets Targets","Meets Targets"),IF($C100="Booked","Booked - Below Target","Review")))))</f>
        <v/>
      </c>
      <c r="AM100" s="38">
        <f>IF($A100="","",IF(COUNTIF($A$6:$A$205,$A100)&gt;1,"Duplicate Load ID",IF(COUNTIF('Planner'!$A$6:$A$205,$B100)=0,"Trip ID not found",IF(($G100+$H100)&gt;($K100+$L100),"Check schedule",IF(MIN($N100,$O100,$P100,$Q100,$R100,$S100,$T100,$U100,$V100)&lt;0,"Negative value","OK")))))</f>
        <v/>
      </c>
    </row>
    <row r="101">
      <c r="A101" s="34" t="n"/>
      <c r="B101" s="34" t="n"/>
      <c r="C101" s="34" t="n"/>
      <c r="D101" s="34" t="n"/>
      <c r="E101" s="34" t="n"/>
      <c r="F101" s="34" t="n"/>
      <c r="G101" s="69" t="n"/>
      <c r="H101" s="36" t="n"/>
      <c r="I101" s="34" t="n"/>
      <c r="J101" s="34" t="n"/>
      <c r="K101" s="69" t="n"/>
      <c r="L101" s="36" t="n"/>
      <c r="M101" s="34" t="n"/>
      <c r="N101" s="75" t="n"/>
      <c r="O101" s="37" t="n"/>
      <c r="P101" s="37" t="n"/>
      <c r="Q101" s="37" t="n"/>
      <c r="R101" s="76" t="n"/>
      <c r="S101" s="77" t="n"/>
      <c r="T101" s="77" t="n"/>
      <c r="U101" s="77" t="n"/>
      <c r="V101" s="77" t="n"/>
      <c r="W101" s="34" t="n"/>
      <c r="X101" s="78" t="n"/>
      <c r="Y101" s="46" t="n"/>
      <c r="Z101" s="71">
        <f>IF($A101="","",SUM($S101:$U101))</f>
        <v/>
      </c>
      <c r="AA101" s="72">
        <f>IF($A101="","",IFERROR($Z101/$P101,0))</f>
        <v/>
      </c>
      <c r="AB101" s="41">
        <f>IF($A101="","",SUM($O101:$Q101))</f>
        <v/>
      </c>
      <c r="AC101" s="41">
        <f>IF($A101="","",IFERROR(INDEX('Planner'!$N$6:$N$205,MATCH($B101,'Planner'!$A$6:$A$205,0)),0))</f>
        <v/>
      </c>
      <c r="AD101" s="41">
        <f>IF($A101="","",$AC101-$O101-$Q101)</f>
        <v/>
      </c>
      <c r="AE101" s="41">
        <f>IF($A101="","",$AB101-$AC101)</f>
        <v/>
      </c>
      <c r="AF101" s="73">
        <f>IF($A101="","",IFERROR($AB101/'Settings'!$B$5,0))</f>
        <v/>
      </c>
      <c r="AG101" s="71">
        <f>IF($A101="","",$AF101*'Settings'!$B$4)</f>
        <v/>
      </c>
      <c r="AH101" s="71">
        <f>IF($A101="","",$AE101*'Settings'!$B$17)</f>
        <v/>
      </c>
      <c r="AI101" s="71">
        <f>IF($A101="","",$R101*'Settings'!$B$7)</f>
        <v/>
      </c>
      <c r="AJ101" s="71">
        <f>IF($A101="","",$Z101-$V101-$AH101-$AI101)</f>
        <v/>
      </c>
      <c r="AK101" s="72">
        <f>IF($A101="","",IFERROR($AJ101/$AB101,0))</f>
        <v/>
      </c>
      <c r="AL101" s="38">
        <f>IF($A101="","",IF(OR($C101="Passed",$C101="Expired",$C101="Canceled"),$C101,IF($C101="Completed","Completed",IF(AND($O101&lt;='Settings'!$B$8,$AA101&gt;='Settings'!$B$10,$AJ101&gt;='Settings'!$B$9),IF($C101="Booked","Booked - Meets Targets","Meets Targets"),IF($C101="Booked","Booked - Below Target","Review")))))</f>
        <v/>
      </c>
      <c r="AM101" s="38">
        <f>IF($A101="","",IF(COUNTIF($A$6:$A$205,$A101)&gt;1,"Duplicate Load ID",IF(COUNTIF('Planner'!$A$6:$A$205,$B101)=0,"Trip ID not found",IF(($G101+$H101)&gt;($K101+$L101),"Check schedule",IF(MIN($N101,$O101,$P101,$Q101,$R101,$S101,$T101,$U101,$V101)&lt;0,"Negative value","OK")))))</f>
        <v/>
      </c>
    </row>
    <row r="102">
      <c r="A102" s="34" t="n"/>
      <c r="B102" s="34" t="n"/>
      <c r="C102" s="34" t="n"/>
      <c r="D102" s="34" t="n"/>
      <c r="E102" s="34" t="n"/>
      <c r="F102" s="34" t="n"/>
      <c r="G102" s="69" t="n"/>
      <c r="H102" s="36" t="n"/>
      <c r="I102" s="34" t="n"/>
      <c r="J102" s="34" t="n"/>
      <c r="K102" s="69" t="n"/>
      <c r="L102" s="36" t="n"/>
      <c r="M102" s="34" t="n"/>
      <c r="N102" s="75" t="n"/>
      <c r="O102" s="37" t="n"/>
      <c r="P102" s="37" t="n"/>
      <c r="Q102" s="37" t="n"/>
      <c r="R102" s="76" t="n"/>
      <c r="S102" s="77" t="n"/>
      <c r="T102" s="77" t="n"/>
      <c r="U102" s="77" t="n"/>
      <c r="V102" s="77" t="n"/>
      <c r="W102" s="34" t="n"/>
      <c r="X102" s="78" t="n"/>
      <c r="Y102" s="46" t="n"/>
      <c r="Z102" s="71">
        <f>IF($A102="","",SUM($S102:$U102))</f>
        <v/>
      </c>
      <c r="AA102" s="72">
        <f>IF($A102="","",IFERROR($Z102/$P102,0))</f>
        <v/>
      </c>
      <c r="AB102" s="41">
        <f>IF($A102="","",SUM($O102:$Q102))</f>
        <v/>
      </c>
      <c r="AC102" s="41">
        <f>IF($A102="","",IFERROR(INDEX('Planner'!$N$6:$N$205,MATCH($B102,'Planner'!$A$6:$A$205,0)),0))</f>
        <v/>
      </c>
      <c r="AD102" s="41">
        <f>IF($A102="","",$AC102-$O102-$Q102)</f>
        <v/>
      </c>
      <c r="AE102" s="41">
        <f>IF($A102="","",$AB102-$AC102)</f>
        <v/>
      </c>
      <c r="AF102" s="73">
        <f>IF($A102="","",IFERROR($AB102/'Settings'!$B$5,0))</f>
        <v/>
      </c>
      <c r="AG102" s="71">
        <f>IF($A102="","",$AF102*'Settings'!$B$4)</f>
        <v/>
      </c>
      <c r="AH102" s="71">
        <f>IF($A102="","",$AE102*'Settings'!$B$17)</f>
        <v/>
      </c>
      <c r="AI102" s="71">
        <f>IF($A102="","",$R102*'Settings'!$B$7)</f>
        <v/>
      </c>
      <c r="AJ102" s="71">
        <f>IF($A102="","",$Z102-$V102-$AH102-$AI102)</f>
        <v/>
      </c>
      <c r="AK102" s="72">
        <f>IF($A102="","",IFERROR($AJ102/$AB102,0))</f>
        <v/>
      </c>
      <c r="AL102" s="38">
        <f>IF($A102="","",IF(OR($C102="Passed",$C102="Expired",$C102="Canceled"),$C102,IF($C102="Completed","Completed",IF(AND($O102&lt;='Settings'!$B$8,$AA102&gt;='Settings'!$B$10,$AJ102&gt;='Settings'!$B$9),IF($C102="Booked","Booked - Meets Targets","Meets Targets"),IF($C102="Booked","Booked - Below Target","Review")))))</f>
        <v/>
      </c>
      <c r="AM102" s="38">
        <f>IF($A102="","",IF(COUNTIF($A$6:$A$205,$A102)&gt;1,"Duplicate Load ID",IF(COUNTIF('Planner'!$A$6:$A$205,$B102)=0,"Trip ID not found",IF(($G102+$H102)&gt;($K102+$L102),"Check schedule",IF(MIN($N102,$O102,$P102,$Q102,$R102,$S102,$T102,$U102,$V102)&lt;0,"Negative value","OK")))))</f>
        <v/>
      </c>
    </row>
    <row r="103">
      <c r="A103" s="34" t="n"/>
      <c r="B103" s="34" t="n"/>
      <c r="C103" s="34" t="n"/>
      <c r="D103" s="34" t="n"/>
      <c r="E103" s="34" t="n"/>
      <c r="F103" s="34" t="n"/>
      <c r="G103" s="69" t="n"/>
      <c r="H103" s="36" t="n"/>
      <c r="I103" s="34" t="n"/>
      <c r="J103" s="34" t="n"/>
      <c r="K103" s="69" t="n"/>
      <c r="L103" s="36" t="n"/>
      <c r="M103" s="34" t="n"/>
      <c r="N103" s="75" t="n"/>
      <c r="O103" s="37" t="n"/>
      <c r="P103" s="37" t="n"/>
      <c r="Q103" s="37" t="n"/>
      <c r="R103" s="76" t="n"/>
      <c r="S103" s="77" t="n"/>
      <c r="T103" s="77" t="n"/>
      <c r="U103" s="77" t="n"/>
      <c r="V103" s="77" t="n"/>
      <c r="W103" s="34" t="n"/>
      <c r="X103" s="78" t="n"/>
      <c r="Y103" s="46" t="n"/>
      <c r="Z103" s="71">
        <f>IF($A103="","",SUM($S103:$U103))</f>
        <v/>
      </c>
      <c r="AA103" s="72">
        <f>IF($A103="","",IFERROR($Z103/$P103,0))</f>
        <v/>
      </c>
      <c r="AB103" s="41">
        <f>IF($A103="","",SUM($O103:$Q103))</f>
        <v/>
      </c>
      <c r="AC103" s="41">
        <f>IF($A103="","",IFERROR(INDEX('Planner'!$N$6:$N$205,MATCH($B103,'Planner'!$A$6:$A$205,0)),0))</f>
        <v/>
      </c>
      <c r="AD103" s="41">
        <f>IF($A103="","",$AC103-$O103-$Q103)</f>
        <v/>
      </c>
      <c r="AE103" s="41">
        <f>IF($A103="","",$AB103-$AC103)</f>
        <v/>
      </c>
      <c r="AF103" s="73">
        <f>IF($A103="","",IFERROR($AB103/'Settings'!$B$5,0))</f>
        <v/>
      </c>
      <c r="AG103" s="71">
        <f>IF($A103="","",$AF103*'Settings'!$B$4)</f>
        <v/>
      </c>
      <c r="AH103" s="71">
        <f>IF($A103="","",$AE103*'Settings'!$B$17)</f>
        <v/>
      </c>
      <c r="AI103" s="71">
        <f>IF($A103="","",$R103*'Settings'!$B$7)</f>
        <v/>
      </c>
      <c r="AJ103" s="71">
        <f>IF($A103="","",$Z103-$V103-$AH103-$AI103)</f>
        <v/>
      </c>
      <c r="AK103" s="72">
        <f>IF($A103="","",IFERROR($AJ103/$AB103,0))</f>
        <v/>
      </c>
      <c r="AL103" s="38">
        <f>IF($A103="","",IF(OR($C103="Passed",$C103="Expired",$C103="Canceled"),$C103,IF($C103="Completed","Completed",IF(AND($O103&lt;='Settings'!$B$8,$AA103&gt;='Settings'!$B$10,$AJ103&gt;='Settings'!$B$9),IF($C103="Booked","Booked - Meets Targets","Meets Targets"),IF($C103="Booked","Booked - Below Target","Review")))))</f>
        <v/>
      </c>
      <c r="AM103" s="38">
        <f>IF($A103="","",IF(COUNTIF($A$6:$A$205,$A103)&gt;1,"Duplicate Load ID",IF(COUNTIF('Planner'!$A$6:$A$205,$B103)=0,"Trip ID not found",IF(($G103+$H103)&gt;($K103+$L103),"Check schedule",IF(MIN($N103,$O103,$P103,$Q103,$R103,$S103,$T103,$U103,$V103)&lt;0,"Negative value","OK")))))</f>
        <v/>
      </c>
    </row>
    <row r="104">
      <c r="A104" s="34" t="n"/>
      <c r="B104" s="34" t="n"/>
      <c r="C104" s="34" t="n"/>
      <c r="D104" s="34" t="n"/>
      <c r="E104" s="34" t="n"/>
      <c r="F104" s="34" t="n"/>
      <c r="G104" s="69" t="n"/>
      <c r="H104" s="36" t="n"/>
      <c r="I104" s="34" t="n"/>
      <c r="J104" s="34" t="n"/>
      <c r="K104" s="69" t="n"/>
      <c r="L104" s="36" t="n"/>
      <c r="M104" s="34" t="n"/>
      <c r="N104" s="75" t="n"/>
      <c r="O104" s="37" t="n"/>
      <c r="P104" s="37" t="n"/>
      <c r="Q104" s="37" t="n"/>
      <c r="R104" s="76" t="n"/>
      <c r="S104" s="77" t="n"/>
      <c r="T104" s="77" t="n"/>
      <c r="U104" s="77" t="n"/>
      <c r="V104" s="77" t="n"/>
      <c r="W104" s="34" t="n"/>
      <c r="X104" s="78" t="n"/>
      <c r="Y104" s="46" t="n"/>
      <c r="Z104" s="71">
        <f>IF($A104="","",SUM($S104:$U104))</f>
        <v/>
      </c>
      <c r="AA104" s="72">
        <f>IF($A104="","",IFERROR($Z104/$P104,0))</f>
        <v/>
      </c>
      <c r="AB104" s="41">
        <f>IF($A104="","",SUM($O104:$Q104))</f>
        <v/>
      </c>
      <c r="AC104" s="41">
        <f>IF($A104="","",IFERROR(INDEX('Planner'!$N$6:$N$205,MATCH($B104,'Planner'!$A$6:$A$205,0)),0))</f>
        <v/>
      </c>
      <c r="AD104" s="41">
        <f>IF($A104="","",$AC104-$O104-$Q104)</f>
        <v/>
      </c>
      <c r="AE104" s="41">
        <f>IF($A104="","",$AB104-$AC104)</f>
        <v/>
      </c>
      <c r="AF104" s="73">
        <f>IF($A104="","",IFERROR($AB104/'Settings'!$B$5,0))</f>
        <v/>
      </c>
      <c r="AG104" s="71">
        <f>IF($A104="","",$AF104*'Settings'!$B$4)</f>
        <v/>
      </c>
      <c r="AH104" s="71">
        <f>IF($A104="","",$AE104*'Settings'!$B$17)</f>
        <v/>
      </c>
      <c r="AI104" s="71">
        <f>IF($A104="","",$R104*'Settings'!$B$7)</f>
        <v/>
      </c>
      <c r="AJ104" s="71">
        <f>IF($A104="","",$Z104-$V104-$AH104-$AI104)</f>
        <v/>
      </c>
      <c r="AK104" s="72">
        <f>IF($A104="","",IFERROR($AJ104/$AB104,0))</f>
        <v/>
      </c>
      <c r="AL104" s="38">
        <f>IF($A104="","",IF(OR($C104="Passed",$C104="Expired",$C104="Canceled"),$C104,IF($C104="Completed","Completed",IF(AND($O104&lt;='Settings'!$B$8,$AA104&gt;='Settings'!$B$10,$AJ104&gt;='Settings'!$B$9),IF($C104="Booked","Booked - Meets Targets","Meets Targets"),IF($C104="Booked","Booked - Below Target","Review")))))</f>
        <v/>
      </c>
      <c r="AM104" s="38">
        <f>IF($A104="","",IF(COUNTIF($A$6:$A$205,$A104)&gt;1,"Duplicate Load ID",IF(COUNTIF('Planner'!$A$6:$A$205,$B104)=0,"Trip ID not found",IF(($G104+$H104)&gt;($K104+$L104),"Check schedule",IF(MIN($N104,$O104,$P104,$Q104,$R104,$S104,$T104,$U104,$V104)&lt;0,"Negative value","OK")))))</f>
        <v/>
      </c>
    </row>
    <row r="105">
      <c r="A105" s="34" t="n"/>
      <c r="B105" s="34" t="n"/>
      <c r="C105" s="34" t="n"/>
      <c r="D105" s="34" t="n"/>
      <c r="E105" s="34" t="n"/>
      <c r="F105" s="34" t="n"/>
      <c r="G105" s="69" t="n"/>
      <c r="H105" s="36" t="n"/>
      <c r="I105" s="34" t="n"/>
      <c r="J105" s="34" t="n"/>
      <c r="K105" s="69" t="n"/>
      <c r="L105" s="36" t="n"/>
      <c r="M105" s="34" t="n"/>
      <c r="N105" s="75" t="n"/>
      <c r="O105" s="37" t="n"/>
      <c r="P105" s="37" t="n"/>
      <c r="Q105" s="37" t="n"/>
      <c r="R105" s="76" t="n"/>
      <c r="S105" s="77" t="n"/>
      <c r="T105" s="77" t="n"/>
      <c r="U105" s="77" t="n"/>
      <c r="V105" s="77" t="n"/>
      <c r="W105" s="34" t="n"/>
      <c r="X105" s="78" t="n"/>
      <c r="Y105" s="46" t="n"/>
      <c r="Z105" s="71">
        <f>IF($A105="","",SUM($S105:$U105))</f>
        <v/>
      </c>
      <c r="AA105" s="72">
        <f>IF($A105="","",IFERROR($Z105/$P105,0))</f>
        <v/>
      </c>
      <c r="AB105" s="41">
        <f>IF($A105="","",SUM($O105:$Q105))</f>
        <v/>
      </c>
      <c r="AC105" s="41">
        <f>IF($A105="","",IFERROR(INDEX('Planner'!$N$6:$N$205,MATCH($B105,'Planner'!$A$6:$A$205,0)),0))</f>
        <v/>
      </c>
      <c r="AD105" s="41">
        <f>IF($A105="","",$AC105-$O105-$Q105)</f>
        <v/>
      </c>
      <c r="AE105" s="41">
        <f>IF($A105="","",$AB105-$AC105)</f>
        <v/>
      </c>
      <c r="AF105" s="73">
        <f>IF($A105="","",IFERROR($AB105/'Settings'!$B$5,0))</f>
        <v/>
      </c>
      <c r="AG105" s="71">
        <f>IF($A105="","",$AF105*'Settings'!$B$4)</f>
        <v/>
      </c>
      <c r="AH105" s="71">
        <f>IF($A105="","",$AE105*'Settings'!$B$17)</f>
        <v/>
      </c>
      <c r="AI105" s="71">
        <f>IF($A105="","",$R105*'Settings'!$B$7)</f>
        <v/>
      </c>
      <c r="AJ105" s="71">
        <f>IF($A105="","",$Z105-$V105-$AH105-$AI105)</f>
        <v/>
      </c>
      <c r="AK105" s="72">
        <f>IF($A105="","",IFERROR($AJ105/$AB105,0))</f>
        <v/>
      </c>
      <c r="AL105" s="38">
        <f>IF($A105="","",IF(OR($C105="Passed",$C105="Expired",$C105="Canceled"),$C105,IF($C105="Completed","Completed",IF(AND($O105&lt;='Settings'!$B$8,$AA105&gt;='Settings'!$B$10,$AJ105&gt;='Settings'!$B$9),IF($C105="Booked","Booked - Meets Targets","Meets Targets"),IF($C105="Booked","Booked - Below Target","Review")))))</f>
        <v/>
      </c>
      <c r="AM105" s="38">
        <f>IF($A105="","",IF(COUNTIF($A$6:$A$205,$A105)&gt;1,"Duplicate Load ID",IF(COUNTIF('Planner'!$A$6:$A$205,$B105)=0,"Trip ID not found",IF(($G105+$H105)&gt;($K105+$L105),"Check schedule",IF(MIN($N105,$O105,$P105,$Q105,$R105,$S105,$T105,$U105,$V105)&lt;0,"Negative value","OK")))))</f>
        <v/>
      </c>
    </row>
    <row r="106">
      <c r="A106" s="34" t="n"/>
      <c r="B106" s="34" t="n"/>
      <c r="C106" s="34" t="n"/>
      <c r="D106" s="34" t="n"/>
      <c r="E106" s="34" t="n"/>
      <c r="F106" s="34" t="n"/>
      <c r="G106" s="69" t="n"/>
      <c r="H106" s="36" t="n"/>
      <c r="I106" s="34" t="n"/>
      <c r="J106" s="34" t="n"/>
      <c r="K106" s="69" t="n"/>
      <c r="L106" s="36" t="n"/>
      <c r="M106" s="34" t="n"/>
      <c r="N106" s="75" t="n"/>
      <c r="O106" s="37" t="n"/>
      <c r="P106" s="37" t="n"/>
      <c r="Q106" s="37" t="n"/>
      <c r="R106" s="76" t="n"/>
      <c r="S106" s="77" t="n"/>
      <c r="T106" s="77" t="n"/>
      <c r="U106" s="77" t="n"/>
      <c r="V106" s="77" t="n"/>
      <c r="W106" s="34" t="n"/>
      <c r="X106" s="78" t="n"/>
      <c r="Y106" s="46" t="n"/>
      <c r="Z106" s="71">
        <f>IF($A106="","",SUM($S106:$U106))</f>
        <v/>
      </c>
      <c r="AA106" s="72">
        <f>IF($A106="","",IFERROR($Z106/$P106,0))</f>
        <v/>
      </c>
      <c r="AB106" s="41">
        <f>IF($A106="","",SUM($O106:$Q106))</f>
        <v/>
      </c>
      <c r="AC106" s="41">
        <f>IF($A106="","",IFERROR(INDEX('Planner'!$N$6:$N$205,MATCH($B106,'Planner'!$A$6:$A$205,0)),0))</f>
        <v/>
      </c>
      <c r="AD106" s="41">
        <f>IF($A106="","",$AC106-$O106-$Q106)</f>
        <v/>
      </c>
      <c r="AE106" s="41">
        <f>IF($A106="","",$AB106-$AC106)</f>
        <v/>
      </c>
      <c r="AF106" s="73">
        <f>IF($A106="","",IFERROR($AB106/'Settings'!$B$5,0))</f>
        <v/>
      </c>
      <c r="AG106" s="71">
        <f>IF($A106="","",$AF106*'Settings'!$B$4)</f>
        <v/>
      </c>
      <c r="AH106" s="71">
        <f>IF($A106="","",$AE106*'Settings'!$B$17)</f>
        <v/>
      </c>
      <c r="AI106" s="71">
        <f>IF($A106="","",$R106*'Settings'!$B$7)</f>
        <v/>
      </c>
      <c r="AJ106" s="71">
        <f>IF($A106="","",$Z106-$V106-$AH106-$AI106)</f>
        <v/>
      </c>
      <c r="AK106" s="72">
        <f>IF($A106="","",IFERROR($AJ106/$AB106,0))</f>
        <v/>
      </c>
      <c r="AL106" s="38">
        <f>IF($A106="","",IF(OR($C106="Passed",$C106="Expired",$C106="Canceled"),$C106,IF($C106="Completed","Completed",IF(AND($O106&lt;='Settings'!$B$8,$AA106&gt;='Settings'!$B$10,$AJ106&gt;='Settings'!$B$9),IF($C106="Booked","Booked - Meets Targets","Meets Targets"),IF($C106="Booked","Booked - Below Target","Review")))))</f>
        <v/>
      </c>
      <c r="AM106" s="38">
        <f>IF($A106="","",IF(COUNTIF($A$6:$A$205,$A106)&gt;1,"Duplicate Load ID",IF(COUNTIF('Planner'!$A$6:$A$205,$B106)=0,"Trip ID not found",IF(($G106+$H106)&gt;($K106+$L106),"Check schedule",IF(MIN($N106,$O106,$P106,$Q106,$R106,$S106,$T106,$U106,$V106)&lt;0,"Negative value","OK")))))</f>
        <v/>
      </c>
    </row>
    <row r="107">
      <c r="A107" s="34" t="n"/>
      <c r="B107" s="34" t="n"/>
      <c r="C107" s="34" t="n"/>
      <c r="D107" s="34" t="n"/>
      <c r="E107" s="34" t="n"/>
      <c r="F107" s="34" t="n"/>
      <c r="G107" s="69" t="n"/>
      <c r="H107" s="36" t="n"/>
      <c r="I107" s="34" t="n"/>
      <c r="J107" s="34" t="n"/>
      <c r="K107" s="69" t="n"/>
      <c r="L107" s="36" t="n"/>
      <c r="M107" s="34" t="n"/>
      <c r="N107" s="75" t="n"/>
      <c r="O107" s="37" t="n"/>
      <c r="P107" s="37" t="n"/>
      <c r="Q107" s="37" t="n"/>
      <c r="R107" s="76" t="n"/>
      <c r="S107" s="77" t="n"/>
      <c r="T107" s="77" t="n"/>
      <c r="U107" s="77" t="n"/>
      <c r="V107" s="77" t="n"/>
      <c r="W107" s="34" t="n"/>
      <c r="X107" s="78" t="n"/>
      <c r="Y107" s="46" t="n"/>
      <c r="Z107" s="71">
        <f>IF($A107="","",SUM($S107:$U107))</f>
        <v/>
      </c>
      <c r="AA107" s="72">
        <f>IF($A107="","",IFERROR($Z107/$P107,0))</f>
        <v/>
      </c>
      <c r="AB107" s="41">
        <f>IF($A107="","",SUM($O107:$Q107))</f>
        <v/>
      </c>
      <c r="AC107" s="41">
        <f>IF($A107="","",IFERROR(INDEX('Planner'!$N$6:$N$205,MATCH($B107,'Planner'!$A$6:$A$205,0)),0))</f>
        <v/>
      </c>
      <c r="AD107" s="41">
        <f>IF($A107="","",$AC107-$O107-$Q107)</f>
        <v/>
      </c>
      <c r="AE107" s="41">
        <f>IF($A107="","",$AB107-$AC107)</f>
        <v/>
      </c>
      <c r="AF107" s="73">
        <f>IF($A107="","",IFERROR($AB107/'Settings'!$B$5,0))</f>
        <v/>
      </c>
      <c r="AG107" s="71">
        <f>IF($A107="","",$AF107*'Settings'!$B$4)</f>
        <v/>
      </c>
      <c r="AH107" s="71">
        <f>IF($A107="","",$AE107*'Settings'!$B$17)</f>
        <v/>
      </c>
      <c r="AI107" s="71">
        <f>IF($A107="","",$R107*'Settings'!$B$7)</f>
        <v/>
      </c>
      <c r="AJ107" s="71">
        <f>IF($A107="","",$Z107-$V107-$AH107-$AI107)</f>
        <v/>
      </c>
      <c r="AK107" s="72">
        <f>IF($A107="","",IFERROR($AJ107/$AB107,0))</f>
        <v/>
      </c>
      <c r="AL107" s="38">
        <f>IF($A107="","",IF(OR($C107="Passed",$C107="Expired",$C107="Canceled"),$C107,IF($C107="Completed","Completed",IF(AND($O107&lt;='Settings'!$B$8,$AA107&gt;='Settings'!$B$10,$AJ107&gt;='Settings'!$B$9),IF($C107="Booked","Booked - Meets Targets","Meets Targets"),IF($C107="Booked","Booked - Below Target","Review")))))</f>
        <v/>
      </c>
      <c r="AM107" s="38">
        <f>IF($A107="","",IF(COUNTIF($A$6:$A$205,$A107)&gt;1,"Duplicate Load ID",IF(COUNTIF('Planner'!$A$6:$A$205,$B107)=0,"Trip ID not found",IF(($G107+$H107)&gt;($K107+$L107),"Check schedule",IF(MIN($N107,$O107,$P107,$Q107,$R107,$S107,$T107,$U107,$V107)&lt;0,"Negative value","OK")))))</f>
        <v/>
      </c>
    </row>
    <row r="108">
      <c r="A108" s="34" t="n"/>
      <c r="B108" s="34" t="n"/>
      <c r="C108" s="34" t="n"/>
      <c r="D108" s="34" t="n"/>
      <c r="E108" s="34" t="n"/>
      <c r="F108" s="34" t="n"/>
      <c r="G108" s="69" t="n"/>
      <c r="H108" s="36" t="n"/>
      <c r="I108" s="34" t="n"/>
      <c r="J108" s="34" t="n"/>
      <c r="K108" s="69" t="n"/>
      <c r="L108" s="36" t="n"/>
      <c r="M108" s="34" t="n"/>
      <c r="N108" s="75" t="n"/>
      <c r="O108" s="37" t="n"/>
      <c r="P108" s="37" t="n"/>
      <c r="Q108" s="37" t="n"/>
      <c r="R108" s="76" t="n"/>
      <c r="S108" s="77" t="n"/>
      <c r="T108" s="77" t="n"/>
      <c r="U108" s="77" t="n"/>
      <c r="V108" s="77" t="n"/>
      <c r="W108" s="34" t="n"/>
      <c r="X108" s="78" t="n"/>
      <c r="Y108" s="46" t="n"/>
      <c r="Z108" s="71">
        <f>IF($A108="","",SUM($S108:$U108))</f>
        <v/>
      </c>
      <c r="AA108" s="72">
        <f>IF($A108="","",IFERROR($Z108/$P108,0))</f>
        <v/>
      </c>
      <c r="AB108" s="41">
        <f>IF($A108="","",SUM($O108:$Q108))</f>
        <v/>
      </c>
      <c r="AC108" s="41">
        <f>IF($A108="","",IFERROR(INDEX('Planner'!$N$6:$N$205,MATCH($B108,'Planner'!$A$6:$A$205,0)),0))</f>
        <v/>
      </c>
      <c r="AD108" s="41">
        <f>IF($A108="","",$AC108-$O108-$Q108)</f>
        <v/>
      </c>
      <c r="AE108" s="41">
        <f>IF($A108="","",$AB108-$AC108)</f>
        <v/>
      </c>
      <c r="AF108" s="73">
        <f>IF($A108="","",IFERROR($AB108/'Settings'!$B$5,0))</f>
        <v/>
      </c>
      <c r="AG108" s="71">
        <f>IF($A108="","",$AF108*'Settings'!$B$4)</f>
        <v/>
      </c>
      <c r="AH108" s="71">
        <f>IF($A108="","",$AE108*'Settings'!$B$17)</f>
        <v/>
      </c>
      <c r="AI108" s="71">
        <f>IF($A108="","",$R108*'Settings'!$B$7)</f>
        <v/>
      </c>
      <c r="AJ108" s="71">
        <f>IF($A108="","",$Z108-$V108-$AH108-$AI108)</f>
        <v/>
      </c>
      <c r="AK108" s="72">
        <f>IF($A108="","",IFERROR($AJ108/$AB108,0))</f>
        <v/>
      </c>
      <c r="AL108" s="38">
        <f>IF($A108="","",IF(OR($C108="Passed",$C108="Expired",$C108="Canceled"),$C108,IF($C108="Completed","Completed",IF(AND($O108&lt;='Settings'!$B$8,$AA108&gt;='Settings'!$B$10,$AJ108&gt;='Settings'!$B$9),IF($C108="Booked","Booked - Meets Targets","Meets Targets"),IF($C108="Booked","Booked - Below Target","Review")))))</f>
        <v/>
      </c>
      <c r="AM108" s="38">
        <f>IF($A108="","",IF(COUNTIF($A$6:$A$205,$A108)&gt;1,"Duplicate Load ID",IF(COUNTIF('Planner'!$A$6:$A$205,$B108)=0,"Trip ID not found",IF(($G108+$H108)&gt;($K108+$L108),"Check schedule",IF(MIN($N108,$O108,$P108,$Q108,$R108,$S108,$T108,$U108,$V108)&lt;0,"Negative value","OK")))))</f>
        <v/>
      </c>
    </row>
    <row r="109">
      <c r="A109" s="34" t="n"/>
      <c r="B109" s="34" t="n"/>
      <c r="C109" s="34" t="n"/>
      <c r="D109" s="34" t="n"/>
      <c r="E109" s="34" t="n"/>
      <c r="F109" s="34" t="n"/>
      <c r="G109" s="69" t="n"/>
      <c r="H109" s="36" t="n"/>
      <c r="I109" s="34" t="n"/>
      <c r="J109" s="34" t="n"/>
      <c r="K109" s="69" t="n"/>
      <c r="L109" s="36" t="n"/>
      <c r="M109" s="34" t="n"/>
      <c r="N109" s="75" t="n"/>
      <c r="O109" s="37" t="n"/>
      <c r="P109" s="37" t="n"/>
      <c r="Q109" s="37" t="n"/>
      <c r="R109" s="76" t="n"/>
      <c r="S109" s="77" t="n"/>
      <c r="T109" s="77" t="n"/>
      <c r="U109" s="77" t="n"/>
      <c r="V109" s="77" t="n"/>
      <c r="W109" s="34" t="n"/>
      <c r="X109" s="78" t="n"/>
      <c r="Y109" s="46" t="n"/>
      <c r="Z109" s="71">
        <f>IF($A109="","",SUM($S109:$U109))</f>
        <v/>
      </c>
      <c r="AA109" s="72">
        <f>IF($A109="","",IFERROR($Z109/$P109,0))</f>
        <v/>
      </c>
      <c r="AB109" s="41">
        <f>IF($A109="","",SUM($O109:$Q109))</f>
        <v/>
      </c>
      <c r="AC109" s="41">
        <f>IF($A109="","",IFERROR(INDEX('Planner'!$N$6:$N$205,MATCH($B109,'Planner'!$A$6:$A$205,0)),0))</f>
        <v/>
      </c>
      <c r="AD109" s="41">
        <f>IF($A109="","",$AC109-$O109-$Q109)</f>
        <v/>
      </c>
      <c r="AE109" s="41">
        <f>IF($A109="","",$AB109-$AC109)</f>
        <v/>
      </c>
      <c r="AF109" s="73">
        <f>IF($A109="","",IFERROR($AB109/'Settings'!$B$5,0))</f>
        <v/>
      </c>
      <c r="AG109" s="71">
        <f>IF($A109="","",$AF109*'Settings'!$B$4)</f>
        <v/>
      </c>
      <c r="AH109" s="71">
        <f>IF($A109="","",$AE109*'Settings'!$B$17)</f>
        <v/>
      </c>
      <c r="AI109" s="71">
        <f>IF($A109="","",$R109*'Settings'!$B$7)</f>
        <v/>
      </c>
      <c r="AJ109" s="71">
        <f>IF($A109="","",$Z109-$V109-$AH109-$AI109)</f>
        <v/>
      </c>
      <c r="AK109" s="72">
        <f>IF($A109="","",IFERROR($AJ109/$AB109,0))</f>
        <v/>
      </c>
      <c r="AL109" s="38">
        <f>IF($A109="","",IF(OR($C109="Passed",$C109="Expired",$C109="Canceled"),$C109,IF($C109="Completed","Completed",IF(AND($O109&lt;='Settings'!$B$8,$AA109&gt;='Settings'!$B$10,$AJ109&gt;='Settings'!$B$9),IF($C109="Booked","Booked - Meets Targets","Meets Targets"),IF($C109="Booked","Booked - Below Target","Review")))))</f>
        <v/>
      </c>
      <c r="AM109" s="38">
        <f>IF($A109="","",IF(COUNTIF($A$6:$A$205,$A109)&gt;1,"Duplicate Load ID",IF(COUNTIF('Planner'!$A$6:$A$205,$B109)=0,"Trip ID not found",IF(($G109+$H109)&gt;($K109+$L109),"Check schedule",IF(MIN($N109,$O109,$P109,$Q109,$R109,$S109,$T109,$U109,$V109)&lt;0,"Negative value","OK")))))</f>
        <v/>
      </c>
    </row>
    <row r="110">
      <c r="A110" s="34" t="n"/>
      <c r="B110" s="34" t="n"/>
      <c r="C110" s="34" t="n"/>
      <c r="D110" s="34" t="n"/>
      <c r="E110" s="34" t="n"/>
      <c r="F110" s="34" t="n"/>
      <c r="G110" s="69" t="n"/>
      <c r="H110" s="36" t="n"/>
      <c r="I110" s="34" t="n"/>
      <c r="J110" s="34" t="n"/>
      <c r="K110" s="69" t="n"/>
      <c r="L110" s="36" t="n"/>
      <c r="M110" s="34" t="n"/>
      <c r="N110" s="75" t="n"/>
      <c r="O110" s="37" t="n"/>
      <c r="P110" s="37" t="n"/>
      <c r="Q110" s="37" t="n"/>
      <c r="R110" s="76" t="n"/>
      <c r="S110" s="77" t="n"/>
      <c r="T110" s="77" t="n"/>
      <c r="U110" s="77" t="n"/>
      <c r="V110" s="77" t="n"/>
      <c r="W110" s="34" t="n"/>
      <c r="X110" s="78" t="n"/>
      <c r="Y110" s="46" t="n"/>
      <c r="Z110" s="71">
        <f>IF($A110="","",SUM($S110:$U110))</f>
        <v/>
      </c>
      <c r="AA110" s="72">
        <f>IF($A110="","",IFERROR($Z110/$P110,0))</f>
        <v/>
      </c>
      <c r="AB110" s="41">
        <f>IF($A110="","",SUM($O110:$Q110))</f>
        <v/>
      </c>
      <c r="AC110" s="41">
        <f>IF($A110="","",IFERROR(INDEX('Planner'!$N$6:$N$205,MATCH($B110,'Planner'!$A$6:$A$205,0)),0))</f>
        <v/>
      </c>
      <c r="AD110" s="41">
        <f>IF($A110="","",$AC110-$O110-$Q110)</f>
        <v/>
      </c>
      <c r="AE110" s="41">
        <f>IF($A110="","",$AB110-$AC110)</f>
        <v/>
      </c>
      <c r="AF110" s="73">
        <f>IF($A110="","",IFERROR($AB110/'Settings'!$B$5,0))</f>
        <v/>
      </c>
      <c r="AG110" s="71">
        <f>IF($A110="","",$AF110*'Settings'!$B$4)</f>
        <v/>
      </c>
      <c r="AH110" s="71">
        <f>IF($A110="","",$AE110*'Settings'!$B$17)</f>
        <v/>
      </c>
      <c r="AI110" s="71">
        <f>IF($A110="","",$R110*'Settings'!$B$7)</f>
        <v/>
      </c>
      <c r="AJ110" s="71">
        <f>IF($A110="","",$Z110-$V110-$AH110-$AI110)</f>
        <v/>
      </c>
      <c r="AK110" s="72">
        <f>IF($A110="","",IFERROR($AJ110/$AB110,0))</f>
        <v/>
      </c>
      <c r="AL110" s="38">
        <f>IF($A110="","",IF(OR($C110="Passed",$C110="Expired",$C110="Canceled"),$C110,IF($C110="Completed","Completed",IF(AND($O110&lt;='Settings'!$B$8,$AA110&gt;='Settings'!$B$10,$AJ110&gt;='Settings'!$B$9),IF($C110="Booked","Booked - Meets Targets","Meets Targets"),IF($C110="Booked","Booked - Below Target","Review")))))</f>
        <v/>
      </c>
      <c r="AM110" s="38">
        <f>IF($A110="","",IF(COUNTIF($A$6:$A$205,$A110)&gt;1,"Duplicate Load ID",IF(COUNTIF('Planner'!$A$6:$A$205,$B110)=0,"Trip ID not found",IF(($G110+$H110)&gt;($K110+$L110),"Check schedule",IF(MIN($N110,$O110,$P110,$Q110,$R110,$S110,$T110,$U110,$V110)&lt;0,"Negative value","OK")))))</f>
        <v/>
      </c>
    </row>
    <row r="111">
      <c r="A111" s="34" t="n"/>
      <c r="B111" s="34" t="n"/>
      <c r="C111" s="34" t="n"/>
      <c r="D111" s="34" t="n"/>
      <c r="E111" s="34" t="n"/>
      <c r="F111" s="34" t="n"/>
      <c r="G111" s="69" t="n"/>
      <c r="H111" s="36" t="n"/>
      <c r="I111" s="34" t="n"/>
      <c r="J111" s="34" t="n"/>
      <c r="K111" s="69" t="n"/>
      <c r="L111" s="36" t="n"/>
      <c r="M111" s="34" t="n"/>
      <c r="N111" s="75" t="n"/>
      <c r="O111" s="37" t="n"/>
      <c r="P111" s="37" t="n"/>
      <c r="Q111" s="37" t="n"/>
      <c r="R111" s="76" t="n"/>
      <c r="S111" s="77" t="n"/>
      <c r="T111" s="77" t="n"/>
      <c r="U111" s="77" t="n"/>
      <c r="V111" s="77" t="n"/>
      <c r="W111" s="34" t="n"/>
      <c r="X111" s="78" t="n"/>
      <c r="Y111" s="46" t="n"/>
      <c r="Z111" s="71">
        <f>IF($A111="","",SUM($S111:$U111))</f>
        <v/>
      </c>
      <c r="AA111" s="72">
        <f>IF($A111="","",IFERROR($Z111/$P111,0))</f>
        <v/>
      </c>
      <c r="AB111" s="41">
        <f>IF($A111="","",SUM($O111:$Q111))</f>
        <v/>
      </c>
      <c r="AC111" s="41">
        <f>IF($A111="","",IFERROR(INDEX('Planner'!$N$6:$N$205,MATCH($B111,'Planner'!$A$6:$A$205,0)),0))</f>
        <v/>
      </c>
      <c r="AD111" s="41">
        <f>IF($A111="","",$AC111-$O111-$Q111)</f>
        <v/>
      </c>
      <c r="AE111" s="41">
        <f>IF($A111="","",$AB111-$AC111)</f>
        <v/>
      </c>
      <c r="AF111" s="73">
        <f>IF($A111="","",IFERROR($AB111/'Settings'!$B$5,0))</f>
        <v/>
      </c>
      <c r="AG111" s="71">
        <f>IF($A111="","",$AF111*'Settings'!$B$4)</f>
        <v/>
      </c>
      <c r="AH111" s="71">
        <f>IF($A111="","",$AE111*'Settings'!$B$17)</f>
        <v/>
      </c>
      <c r="AI111" s="71">
        <f>IF($A111="","",$R111*'Settings'!$B$7)</f>
        <v/>
      </c>
      <c r="AJ111" s="71">
        <f>IF($A111="","",$Z111-$V111-$AH111-$AI111)</f>
        <v/>
      </c>
      <c r="AK111" s="72">
        <f>IF($A111="","",IFERROR($AJ111/$AB111,0))</f>
        <v/>
      </c>
      <c r="AL111" s="38">
        <f>IF($A111="","",IF(OR($C111="Passed",$C111="Expired",$C111="Canceled"),$C111,IF($C111="Completed","Completed",IF(AND($O111&lt;='Settings'!$B$8,$AA111&gt;='Settings'!$B$10,$AJ111&gt;='Settings'!$B$9),IF($C111="Booked","Booked - Meets Targets","Meets Targets"),IF($C111="Booked","Booked - Below Target","Review")))))</f>
        <v/>
      </c>
      <c r="AM111" s="38">
        <f>IF($A111="","",IF(COUNTIF($A$6:$A$205,$A111)&gt;1,"Duplicate Load ID",IF(COUNTIF('Planner'!$A$6:$A$205,$B111)=0,"Trip ID not found",IF(($G111+$H111)&gt;($K111+$L111),"Check schedule",IF(MIN($N111,$O111,$P111,$Q111,$R111,$S111,$T111,$U111,$V111)&lt;0,"Negative value","OK")))))</f>
        <v/>
      </c>
    </row>
    <row r="112">
      <c r="A112" s="34" t="n"/>
      <c r="B112" s="34" t="n"/>
      <c r="C112" s="34" t="n"/>
      <c r="D112" s="34" t="n"/>
      <c r="E112" s="34" t="n"/>
      <c r="F112" s="34" t="n"/>
      <c r="G112" s="69" t="n"/>
      <c r="H112" s="36" t="n"/>
      <c r="I112" s="34" t="n"/>
      <c r="J112" s="34" t="n"/>
      <c r="K112" s="69" t="n"/>
      <c r="L112" s="36" t="n"/>
      <c r="M112" s="34" t="n"/>
      <c r="N112" s="75" t="n"/>
      <c r="O112" s="37" t="n"/>
      <c r="P112" s="37" t="n"/>
      <c r="Q112" s="37" t="n"/>
      <c r="R112" s="76" t="n"/>
      <c r="S112" s="77" t="n"/>
      <c r="T112" s="77" t="n"/>
      <c r="U112" s="77" t="n"/>
      <c r="V112" s="77" t="n"/>
      <c r="W112" s="34" t="n"/>
      <c r="X112" s="78" t="n"/>
      <c r="Y112" s="46" t="n"/>
      <c r="Z112" s="71">
        <f>IF($A112="","",SUM($S112:$U112))</f>
        <v/>
      </c>
      <c r="AA112" s="72">
        <f>IF($A112="","",IFERROR($Z112/$P112,0))</f>
        <v/>
      </c>
      <c r="AB112" s="41">
        <f>IF($A112="","",SUM($O112:$Q112))</f>
        <v/>
      </c>
      <c r="AC112" s="41">
        <f>IF($A112="","",IFERROR(INDEX('Planner'!$N$6:$N$205,MATCH($B112,'Planner'!$A$6:$A$205,0)),0))</f>
        <v/>
      </c>
      <c r="AD112" s="41">
        <f>IF($A112="","",$AC112-$O112-$Q112)</f>
        <v/>
      </c>
      <c r="AE112" s="41">
        <f>IF($A112="","",$AB112-$AC112)</f>
        <v/>
      </c>
      <c r="AF112" s="73">
        <f>IF($A112="","",IFERROR($AB112/'Settings'!$B$5,0))</f>
        <v/>
      </c>
      <c r="AG112" s="71">
        <f>IF($A112="","",$AF112*'Settings'!$B$4)</f>
        <v/>
      </c>
      <c r="AH112" s="71">
        <f>IF($A112="","",$AE112*'Settings'!$B$17)</f>
        <v/>
      </c>
      <c r="AI112" s="71">
        <f>IF($A112="","",$R112*'Settings'!$B$7)</f>
        <v/>
      </c>
      <c r="AJ112" s="71">
        <f>IF($A112="","",$Z112-$V112-$AH112-$AI112)</f>
        <v/>
      </c>
      <c r="AK112" s="72">
        <f>IF($A112="","",IFERROR($AJ112/$AB112,0))</f>
        <v/>
      </c>
      <c r="AL112" s="38">
        <f>IF($A112="","",IF(OR($C112="Passed",$C112="Expired",$C112="Canceled"),$C112,IF($C112="Completed","Completed",IF(AND($O112&lt;='Settings'!$B$8,$AA112&gt;='Settings'!$B$10,$AJ112&gt;='Settings'!$B$9),IF($C112="Booked","Booked - Meets Targets","Meets Targets"),IF($C112="Booked","Booked - Below Target","Review")))))</f>
        <v/>
      </c>
      <c r="AM112" s="38">
        <f>IF($A112="","",IF(COUNTIF($A$6:$A$205,$A112)&gt;1,"Duplicate Load ID",IF(COUNTIF('Planner'!$A$6:$A$205,$B112)=0,"Trip ID not found",IF(($G112+$H112)&gt;($K112+$L112),"Check schedule",IF(MIN($N112,$O112,$P112,$Q112,$R112,$S112,$T112,$U112,$V112)&lt;0,"Negative value","OK")))))</f>
        <v/>
      </c>
    </row>
    <row r="113">
      <c r="A113" s="34" t="n"/>
      <c r="B113" s="34" t="n"/>
      <c r="C113" s="34" t="n"/>
      <c r="D113" s="34" t="n"/>
      <c r="E113" s="34" t="n"/>
      <c r="F113" s="34" t="n"/>
      <c r="G113" s="69" t="n"/>
      <c r="H113" s="36" t="n"/>
      <c r="I113" s="34" t="n"/>
      <c r="J113" s="34" t="n"/>
      <c r="K113" s="69" t="n"/>
      <c r="L113" s="36" t="n"/>
      <c r="M113" s="34" t="n"/>
      <c r="N113" s="75" t="n"/>
      <c r="O113" s="37" t="n"/>
      <c r="P113" s="37" t="n"/>
      <c r="Q113" s="37" t="n"/>
      <c r="R113" s="76" t="n"/>
      <c r="S113" s="77" t="n"/>
      <c r="T113" s="77" t="n"/>
      <c r="U113" s="77" t="n"/>
      <c r="V113" s="77" t="n"/>
      <c r="W113" s="34" t="n"/>
      <c r="X113" s="78" t="n"/>
      <c r="Y113" s="46" t="n"/>
      <c r="Z113" s="71">
        <f>IF($A113="","",SUM($S113:$U113))</f>
        <v/>
      </c>
      <c r="AA113" s="72">
        <f>IF($A113="","",IFERROR($Z113/$P113,0))</f>
        <v/>
      </c>
      <c r="AB113" s="41">
        <f>IF($A113="","",SUM($O113:$Q113))</f>
        <v/>
      </c>
      <c r="AC113" s="41">
        <f>IF($A113="","",IFERROR(INDEX('Planner'!$N$6:$N$205,MATCH($B113,'Planner'!$A$6:$A$205,0)),0))</f>
        <v/>
      </c>
      <c r="AD113" s="41">
        <f>IF($A113="","",$AC113-$O113-$Q113)</f>
        <v/>
      </c>
      <c r="AE113" s="41">
        <f>IF($A113="","",$AB113-$AC113)</f>
        <v/>
      </c>
      <c r="AF113" s="73">
        <f>IF($A113="","",IFERROR($AB113/'Settings'!$B$5,0))</f>
        <v/>
      </c>
      <c r="AG113" s="71">
        <f>IF($A113="","",$AF113*'Settings'!$B$4)</f>
        <v/>
      </c>
      <c r="AH113" s="71">
        <f>IF($A113="","",$AE113*'Settings'!$B$17)</f>
        <v/>
      </c>
      <c r="AI113" s="71">
        <f>IF($A113="","",$R113*'Settings'!$B$7)</f>
        <v/>
      </c>
      <c r="AJ113" s="71">
        <f>IF($A113="","",$Z113-$V113-$AH113-$AI113)</f>
        <v/>
      </c>
      <c r="AK113" s="72">
        <f>IF($A113="","",IFERROR($AJ113/$AB113,0))</f>
        <v/>
      </c>
      <c r="AL113" s="38">
        <f>IF($A113="","",IF(OR($C113="Passed",$C113="Expired",$C113="Canceled"),$C113,IF($C113="Completed","Completed",IF(AND($O113&lt;='Settings'!$B$8,$AA113&gt;='Settings'!$B$10,$AJ113&gt;='Settings'!$B$9),IF($C113="Booked","Booked - Meets Targets","Meets Targets"),IF($C113="Booked","Booked - Below Target","Review")))))</f>
        <v/>
      </c>
      <c r="AM113" s="38">
        <f>IF($A113="","",IF(COUNTIF($A$6:$A$205,$A113)&gt;1,"Duplicate Load ID",IF(COUNTIF('Planner'!$A$6:$A$205,$B113)=0,"Trip ID not found",IF(($G113+$H113)&gt;($K113+$L113),"Check schedule",IF(MIN($N113,$O113,$P113,$Q113,$R113,$S113,$T113,$U113,$V113)&lt;0,"Negative value","OK")))))</f>
        <v/>
      </c>
    </row>
    <row r="114">
      <c r="A114" s="34" t="n"/>
      <c r="B114" s="34" t="n"/>
      <c r="C114" s="34" t="n"/>
      <c r="D114" s="34" t="n"/>
      <c r="E114" s="34" t="n"/>
      <c r="F114" s="34" t="n"/>
      <c r="G114" s="69" t="n"/>
      <c r="H114" s="36" t="n"/>
      <c r="I114" s="34" t="n"/>
      <c r="J114" s="34" t="n"/>
      <c r="K114" s="69" t="n"/>
      <c r="L114" s="36" t="n"/>
      <c r="M114" s="34" t="n"/>
      <c r="N114" s="75" t="n"/>
      <c r="O114" s="37" t="n"/>
      <c r="P114" s="37" t="n"/>
      <c r="Q114" s="37" t="n"/>
      <c r="R114" s="76" t="n"/>
      <c r="S114" s="77" t="n"/>
      <c r="T114" s="77" t="n"/>
      <c r="U114" s="77" t="n"/>
      <c r="V114" s="77" t="n"/>
      <c r="W114" s="34" t="n"/>
      <c r="X114" s="78" t="n"/>
      <c r="Y114" s="46" t="n"/>
      <c r="Z114" s="71">
        <f>IF($A114="","",SUM($S114:$U114))</f>
        <v/>
      </c>
      <c r="AA114" s="72">
        <f>IF($A114="","",IFERROR($Z114/$P114,0))</f>
        <v/>
      </c>
      <c r="AB114" s="41">
        <f>IF($A114="","",SUM($O114:$Q114))</f>
        <v/>
      </c>
      <c r="AC114" s="41">
        <f>IF($A114="","",IFERROR(INDEX('Planner'!$N$6:$N$205,MATCH($B114,'Planner'!$A$6:$A$205,0)),0))</f>
        <v/>
      </c>
      <c r="AD114" s="41">
        <f>IF($A114="","",$AC114-$O114-$Q114)</f>
        <v/>
      </c>
      <c r="AE114" s="41">
        <f>IF($A114="","",$AB114-$AC114)</f>
        <v/>
      </c>
      <c r="AF114" s="73">
        <f>IF($A114="","",IFERROR($AB114/'Settings'!$B$5,0))</f>
        <v/>
      </c>
      <c r="AG114" s="71">
        <f>IF($A114="","",$AF114*'Settings'!$B$4)</f>
        <v/>
      </c>
      <c r="AH114" s="71">
        <f>IF($A114="","",$AE114*'Settings'!$B$17)</f>
        <v/>
      </c>
      <c r="AI114" s="71">
        <f>IF($A114="","",$R114*'Settings'!$B$7)</f>
        <v/>
      </c>
      <c r="AJ114" s="71">
        <f>IF($A114="","",$Z114-$V114-$AH114-$AI114)</f>
        <v/>
      </c>
      <c r="AK114" s="72">
        <f>IF($A114="","",IFERROR($AJ114/$AB114,0))</f>
        <v/>
      </c>
      <c r="AL114" s="38">
        <f>IF($A114="","",IF(OR($C114="Passed",$C114="Expired",$C114="Canceled"),$C114,IF($C114="Completed","Completed",IF(AND($O114&lt;='Settings'!$B$8,$AA114&gt;='Settings'!$B$10,$AJ114&gt;='Settings'!$B$9),IF($C114="Booked","Booked - Meets Targets","Meets Targets"),IF($C114="Booked","Booked - Below Target","Review")))))</f>
        <v/>
      </c>
      <c r="AM114" s="38">
        <f>IF($A114="","",IF(COUNTIF($A$6:$A$205,$A114)&gt;1,"Duplicate Load ID",IF(COUNTIF('Planner'!$A$6:$A$205,$B114)=0,"Trip ID not found",IF(($G114+$H114)&gt;($K114+$L114),"Check schedule",IF(MIN($N114,$O114,$P114,$Q114,$R114,$S114,$T114,$U114,$V114)&lt;0,"Negative value","OK")))))</f>
        <v/>
      </c>
    </row>
    <row r="115">
      <c r="A115" s="34" t="n"/>
      <c r="B115" s="34" t="n"/>
      <c r="C115" s="34" t="n"/>
      <c r="D115" s="34" t="n"/>
      <c r="E115" s="34" t="n"/>
      <c r="F115" s="34" t="n"/>
      <c r="G115" s="69" t="n"/>
      <c r="H115" s="36" t="n"/>
      <c r="I115" s="34" t="n"/>
      <c r="J115" s="34" t="n"/>
      <c r="K115" s="69" t="n"/>
      <c r="L115" s="36" t="n"/>
      <c r="M115" s="34" t="n"/>
      <c r="N115" s="75" t="n"/>
      <c r="O115" s="37" t="n"/>
      <c r="P115" s="37" t="n"/>
      <c r="Q115" s="37" t="n"/>
      <c r="R115" s="76" t="n"/>
      <c r="S115" s="77" t="n"/>
      <c r="T115" s="77" t="n"/>
      <c r="U115" s="77" t="n"/>
      <c r="V115" s="77" t="n"/>
      <c r="W115" s="34" t="n"/>
      <c r="X115" s="78" t="n"/>
      <c r="Y115" s="46" t="n"/>
      <c r="Z115" s="71">
        <f>IF($A115="","",SUM($S115:$U115))</f>
        <v/>
      </c>
      <c r="AA115" s="72">
        <f>IF($A115="","",IFERROR($Z115/$P115,0))</f>
        <v/>
      </c>
      <c r="AB115" s="41">
        <f>IF($A115="","",SUM($O115:$Q115))</f>
        <v/>
      </c>
      <c r="AC115" s="41">
        <f>IF($A115="","",IFERROR(INDEX('Planner'!$N$6:$N$205,MATCH($B115,'Planner'!$A$6:$A$205,0)),0))</f>
        <v/>
      </c>
      <c r="AD115" s="41">
        <f>IF($A115="","",$AC115-$O115-$Q115)</f>
        <v/>
      </c>
      <c r="AE115" s="41">
        <f>IF($A115="","",$AB115-$AC115)</f>
        <v/>
      </c>
      <c r="AF115" s="73">
        <f>IF($A115="","",IFERROR($AB115/'Settings'!$B$5,0))</f>
        <v/>
      </c>
      <c r="AG115" s="71">
        <f>IF($A115="","",$AF115*'Settings'!$B$4)</f>
        <v/>
      </c>
      <c r="AH115" s="71">
        <f>IF($A115="","",$AE115*'Settings'!$B$17)</f>
        <v/>
      </c>
      <c r="AI115" s="71">
        <f>IF($A115="","",$R115*'Settings'!$B$7)</f>
        <v/>
      </c>
      <c r="AJ115" s="71">
        <f>IF($A115="","",$Z115-$V115-$AH115-$AI115)</f>
        <v/>
      </c>
      <c r="AK115" s="72">
        <f>IF($A115="","",IFERROR($AJ115/$AB115,0))</f>
        <v/>
      </c>
      <c r="AL115" s="38">
        <f>IF($A115="","",IF(OR($C115="Passed",$C115="Expired",$C115="Canceled"),$C115,IF($C115="Completed","Completed",IF(AND($O115&lt;='Settings'!$B$8,$AA115&gt;='Settings'!$B$10,$AJ115&gt;='Settings'!$B$9),IF($C115="Booked","Booked - Meets Targets","Meets Targets"),IF($C115="Booked","Booked - Below Target","Review")))))</f>
        <v/>
      </c>
      <c r="AM115" s="38">
        <f>IF($A115="","",IF(COUNTIF($A$6:$A$205,$A115)&gt;1,"Duplicate Load ID",IF(COUNTIF('Planner'!$A$6:$A$205,$B115)=0,"Trip ID not found",IF(($G115+$H115)&gt;($K115+$L115),"Check schedule",IF(MIN($N115,$O115,$P115,$Q115,$R115,$S115,$T115,$U115,$V115)&lt;0,"Negative value","OK")))))</f>
        <v/>
      </c>
    </row>
    <row r="116">
      <c r="A116" s="34" t="n"/>
      <c r="B116" s="34" t="n"/>
      <c r="C116" s="34" t="n"/>
      <c r="D116" s="34" t="n"/>
      <c r="E116" s="34" t="n"/>
      <c r="F116" s="34" t="n"/>
      <c r="G116" s="69" t="n"/>
      <c r="H116" s="36" t="n"/>
      <c r="I116" s="34" t="n"/>
      <c r="J116" s="34" t="n"/>
      <c r="K116" s="69" t="n"/>
      <c r="L116" s="36" t="n"/>
      <c r="M116" s="34" t="n"/>
      <c r="N116" s="75" t="n"/>
      <c r="O116" s="37" t="n"/>
      <c r="P116" s="37" t="n"/>
      <c r="Q116" s="37" t="n"/>
      <c r="R116" s="76" t="n"/>
      <c r="S116" s="77" t="n"/>
      <c r="T116" s="77" t="n"/>
      <c r="U116" s="77" t="n"/>
      <c r="V116" s="77" t="n"/>
      <c r="W116" s="34" t="n"/>
      <c r="X116" s="78" t="n"/>
      <c r="Y116" s="46" t="n"/>
      <c r="Z116" s="71">
        <f>IF($A116="","",SUM($S116:$U116))</f>
        <v/>
      </c>
      <c r="AA116" s="72">
        <f>IF($A116="","",IFERROR($Z116/$P116,0))</f>
        <v/>
      </c>
      <c r="AB116" s="41">
        <f>IF($A116="","",SUM($O116:$Q116))</f>
        <v/>
      </c>
      <c r="AC116" s="41">
        <f>IF($A116="","",IFERROR(INDEX('Planner'!$N$6:$N$205,MATCH($B116,'Planner'!$A$6:$A$205,0)),0))</f>
        <v/>
      </c>
      <c r="AD116" s="41">
        <f>IF($A116="","",$AC116-$O116-$Q116)</f>
        <v/>
      </c>
      <c r="AE116" s="41">
        <f>IF($A116="","",$AB116-$AC116)</f>
        <v/>
      </c>
      <c r="AF116" s="73">
        <f>IF($A116="","",IFERROR($AB116/'Settings'!$B$5,0))</f>
        <v/>
      </c>
      <c r="AG116" s="71">
        <f>IF($A116="","",$AF116*'Settings'!$B$4)</f>
        <v/>
      </c>
      <c r="AH116" s="71">
        <f>IF($A116="","",$AE116*'Settings'!$B$17)</f>
        <v/>
      </c>
      <c r="AI116" s="71">
        <f>IF($A116="","",$R116*'Settings'!$B$7)</f>
        <v/>
      </c>
      <c r="AJ116" s="71">
        <f>IF($A116="","",$Z116-$V116-$AH116-$AI116)</f>
        <v/>
      </c>
      <c r="AK116" s="72">
        <f>IF($A116="","",IFERROR($AJ116/$AB116,0))</f>
        <v/>
      </c>
      <c r="AL116" s="38">
        <f>IF($A116="","",IF(OR($C116="Passed",$C116="Expired",$C116="Canceled"),$C116,IF($C116="Completed","Completed",IF(AND($O116&lt;='Settings'!$B$8,$AA116&gt;='Settings'!$B$10,$AJ116&gt;='Settings'!$B$9),IF($C116="Booked","Booked - Meets Targets","Meets Targets"),IF($C116="Booked","Booked - Below Target","Review")))))</f>
        <v/>
      </c>
      <c r="AM116" s="38">
        <f>IF($A116="","",IF(COUNTIF($A$6:$A$205,$A116)&gt;1,"Duplicate Load ID",IF(COUNTIF('Planner'!$A$6:$A$205,$B116)=0,"Trip ID not found",IF(($G116+$H116)&gt;($K116+$L116),"Check schedule",IF(MIN($N116,$O116,$P116,$Q116,$R116,$S116,$T116,$U116,$V116)&lt;0,"Negative value","OK")))))</f>
        <v/>
      </c>
    </row>
    <row r="117">
      <c r="A117" s="34" t="n"/>
      <c r="B117" s="34" t="n"/>
      <c r="C117" s="34" t="n"/>
      <c r="D117" s="34" t="n"/>
      <c r="E117" s="34" t="n"/>
      <c r="F117" s="34" t="n"/>
      <c r="G117" s="69" t="n"/>
      <c r="H117" s="36" t="n"/>
      <c r="I117" s="34" t="n"/>
      <c r="J117" s="34" t="n"/>
      <c r="K117" s="69" t="n"/>
      <c r="L117" s="36" t="n"/>
      <c r="M117" s="34" t="n"/>
      <c r="N117" s="75" t="n"/>
      <c r="O117" s="37" t="n"/>
      <c r="P117" s="37" t="n"/>
      <c r="Q117" s="37" t="n"/>
      <c r="R117" s="76" t="n"/>
      <c r="S117" s="77" t="n"/>
      <c r="T117" s="77" t="n"/>
      <c r="U117" s="77" t="n"/>
      <c r="V117" s="77" t="n"/>
      <c r="W117" s="34" t="n"/>
      <c r="X117" s="78" t="n"/>
      <c r="Y117" s="46" t="n"/>
      <c r="Z117" s="71">
        <f>IF($A117="","",SUM($S117:$U117))</f>
        <v/>
      </c>
      <c r="AA117" s="72">
        <f>IF($A117="","",IFERROR($Z117/$P117,0))</f>
        <v/>
      </c>
      <c r="AB117" s="41">
        <f>IF($A117="","",SUM($O117:$Q117))</f>
        <v/>
      </c>
      <c r="AC117" s="41">
        <f>IF($A117="","",IFERROR(INDEX('Planner'!$N$6:$N$205,MATCH($B117,'Planner'!$A$6:$A$205,0)),0))</f>
        <v/>
      </c>
      <c r="AD117" s="41">
        <f>IF($A117="","",$AC117-$O117-$Q117)</f>
        <v/>
      </c>
      <c r="AE117" s="41">
        <f>IF($A117="","",$AB117-$AC117)</f>
        <v/>
      </c>
      <c r="AF117" s="73">
        <f>IF($A117="","",IFERROR($AB117/'Settings'!$B$5,0))</f>
        <v/>
      </c>
      <c r="AG117" s="71">
        <f>IF($A117="","",$AF117*'Settings'!$B$4)</f>
        <v/>
      </c>
      <c r="AH117" s="71">
        <f>IF($A117="","",$AE117*'Settings'!$B$17)</f>
        <v/>
      </c>
      <c r="AI117" s="71">
        <f>IF($A117="","",$R117*'Settings'!$B$7)</f>
        <v/>
      </c>
      <c r="AJ117" s="71">
        <f>IF($A117="","",$Z117-$V117-$AH117-$AI117)</f>
        <v/>
      </c>
      <c r="AK117" s="72">
        <f>IF($A117="","",IFERROR($AJ117/$AB117,0))</f>
        <v/>
      </c>
      <c r="AL117" s="38">
        <f>IF($A117="","",IF(OR($C117="Passed",$C117="Expired",$C117="Canceled"),$C117,IF($C117="Completed","Completed",IF(AND($O117&lt;='Settings'!$B$8,$AA117&gt;='Settings'!$B$10,$AJ117&gt;='Settings'!$B$9),IF($C117="Booked","Booked - Meets Targets","Meets Targets"),IF($C117="Booked","Booked - Below Target","Review")))))</f>
        <v/>
      </c>
      <c r="AM117" s="38">
        <f>IF($A117="","",IF(COUNTIF($A$6:$A$205,$A117)&gt;1,"Duplicate Load ID",IF(COUNTIF('Planner'!$A$6:$A$205,$B117)=0,"Trip ID not found",IF(($G117+$H117)&gt;($K117+$L117),"Check schedule",IF(MIN($N117,$O117,$P117,$Q117,$R117,$S117,$T117,$U117,$V117)&lt;0,"Negative value","OK")))))</f>
        <v/>
      </c>
    </row>
    <row r="118">
      <c r="A118" s="34" t="n"/>
      <c r="B118" s="34" t="n"/>
      <c r="C118" s="34" t="n"/>
      <c r="D118" s="34" t="n"/>
      <c r="E118" s="34" t="n"/>
      <c r="F118" s="34" t="n"/>
      <c r="G118" s="69" t="n"/>
      <c r="H118" s="36" t="n"/>
      <c r="I118" s="34" t="n"/>
      <c r="J118" s="34" t="n"/>
      <c r="K118" s="69" t="n"/>
      <c r="L118" s="36" t="n"/>
      <c r="M118" s="34" t="n"/>
      <c r="N118" s="75" t="n"/>
      <c r="O118" s="37" t="n"/>
      <c r="P118" s="37" t="n"/>
      <c r="Q118" s="37" t="n"/>
      <c r="R118" s="76" t="n"/>
      <c r="S118" s="77" t="n"/>
      <c r="T118" s="77" t="n"/>
      <c r="U118" s="77" t="n"/>
      <c r="V118" s="77" t="n"/>
      <c r="W118" s="34" t="n"/>
      <c r="X118" s="78" t="n"/>
      <c r="Y118" s="46" t="n"/>
      <c r="Z118" s="71">
        <f>IF($A118="","",SUM($S118:$U118))</f>
        <v/>
      </c>
      <c r="AA118" s="72">
        <f>IF($A118="","",IFERROR($Z118/$P118,0))</f>
        <v/>
      </c>
      <c r="AB118" s="41">
        <f>IF($A118="","",SUM($O118:$Q118))</f>
        <v/>
      </c>
      <c r="AC118" s="41">
        <f>IF($A118="","",IFERROR(INDEX('Planner'!$N$6:$N$205,MATCH($B118,'Planner'!$A$6:$A$205,0)),0))</f>
        <v/>
      </c>
      <c r="AD118" s="41">
        <f>IF($A118="","",$AC118-$O118-$Q118)</f>
        <v/>
      </c>
      <c r="AE118" s="41">
        <f>IF($A118="","",$AB118-$AC118)</f>
        <v/>
      </c>
      <c r="AF118" s="73">
        <f>IF($A118="","",IFERROR($AB118/'Settings'!$B$5,0))</f>
        <v/>
      </c>
      <c r="AG118" s="71">
        <f>IF($A118="","",$AF118*'Settings'!$B$4)</f>
        <v/>
      </c>
      <c r="AH118" s="71">
        <f>IF($A118="","",$AE118*'Settings'!$B$17)</f>
        <v/>
      </c>
      <c r="AI118" s="71">
        <f>IF($A118="","",$R118*'Settings'!$B$7)</f>
        <v/>
      </c>
      <c r="AJ118" s="71">
        <f>IF($A118="","",$Z118-$V118-$AH118-$AI118)</f>
        <v/>
      </c>
      <c r="AK118" s="72">
        <f>IF($A118="","",IFERROR($AJ118/$AB118,0))</f>
        <v/>
      </c>
      <c r="AL118" s="38">
        <f>IF($A118="","",IF(OR($C118="Passed",$C118="Expired",$C118="Canceled"),$C118,IF($C118="Completed","Completed",IF(AND($O118&lt;='Settings'!$B$8,$AA118&gt;='Settings'!$B$10,$AJ118&gt;='Settings'!$B$9),IF($C118="Booked","Booked - Meets Targets","Meets Targets"),IF($C118="Booked","Booked - Below Target","Review")))))</f>
        <v/>
      </c>
      <c r="AM118" s="38">
        <f>IF($A118="","",IF(COUNTIF($A$6:$A$205,$A118)&gt;1,"Duplicate Load ID",IF(COUNTIF('Planner'!$A$6:$A$205,$B118)=0,"Trip ID not found",IF(($G118+$H118)&gt;($K118+$L118),"Check schedule",IF(MIN($N118,$O118,$P118,$Q118,$R118,$S118,$T118,$U118,$V118)&lt;0,"Negative value","OK")))))</f>
        <v/>
      </c>
    </row>
    <row r="119">
      <c r="A119" s="34" t="n"/>
      <c r="B119" s="34" t="n"/>
      <c r="C119" s="34" t="n"/>
      <c r="D119" s="34" t="n"/>
      <c r="E119" s="34" t="n"/>
      <c r="F119" s="34" t="n"/>
      <c r="G119" s="69" t="n"/>
      <c r="H119" s="36" t="n"/>
      <c r="I119" s="34" t="n"/>
      <c r="J119" s="34" t="n"/>
      <c r="K119" s="69" t="n"/>
      <c r="L119" s="36" t="n"/>
      <c r="M119" s="34" t="n"/>
      <c r="N119" s="75" t="n"/>
      <c r="O119" s="37" t="n"/>
      <c r="P119" s="37" t="n"/>
      <c r="Q119" s="37" t="n"/>
      <c r="R119" s="76" t="n"/>
      <c r="S119" s="77" t="n"/>
      <c r="T119" s="77" t="n"/>
      <c r="U119" s="77" t="n"/>
      <c r="V119" s="77" t="n"/>
      <c r="W119" s="34" t="n"/>
      <c r="X119" s="78" t="n"/>
      <c r="Y119" s="46" t="n"/>
      <c r="Z119" s="71">
        <f>IF($A119="","",SUM($S119:$U119))</f>
        <v/>
      </c>
      <c r="AA119" s="72">
        <f>IF($A119="","",IFERROR($Z119/$P119,0))</f>
        <v/>
      </c>
      <c r="AB119" s="41">
        <f>IF($A119="","",SUM($O119:$Q119))</f>
        <v/>
      </c>
      <c r="AC119" s="41">
        <f>IF($A119="","",IFERROR(INDEX('Planner'!$N$6:$N$205,MATCH($B119,'Planner'!$A$6:$A$205,0)),0))</f>
        <v/>
      </c>
      <c r="AD119" s="41">
        <f>IF($A119="","",$AC119-$O119-$Q119)</f>
        <v/>
      </c>
      <c r="AE119" s="41">
        <f>IF($A119="","",$AB119-$AC119)</f>
        <v/>
      </c>
      <c r="AF119" s="73">
        <f>IF($A119="","",IFERROR($AB119/'Settings'!$B$5,0))</f>
        <v/>
      </c>
      <c r="AG119" s="71">
        <f>IF($A119="","",$AF119*'Settings'!$B$4)</f>
        <v/>
      </c>
      <c r="AH119" s="71">
        <f>IF($A119="","",$AE119*'Settings'!$B$17)</f>
        <v/>
      </c>
      <c r="AI119" s="71">
        <f>IF($A119="","",$R119*'Settings'!$B$7)</f>
        <v/>
      </c>
      <c r="AJ119" s="71">
        <f>IF($A119="","",$Z119-$V119-$AH119-$AI119)</f>
        <v/>
      </c>
      <c r="AK119" s="72">
        <f>IF($A119="","",IFERROR($AJ119/$AB119,0))</f>
        <v/>
      </c>
      <c r="AL119" s="38">
        <f>IF($A119="","",IF(OR($C119="Passed",$C119="Expired",$C119="Canceled"),$C119,IF($C119="Completed","Completed",IF(AND($O119&lt;='Settings'!$B$8,$AA119&gt;='Settings'!$B$10,$AJ119&gt;='Settings'!$B$9),IF($C119="Booked","Booked - Meets Targets","Meets Targets"),IF($C119="Booked","Booked - Below Target","Review")))))</f>
        <v/>
      </c>
      <c r="AM119" s="38">
        <f>IF($A119="","",IF(COUNTIF($A$6:$A$205,$A119)&gt;1,"Duplicate Load ID",IF(COUNTIF('Planner'!$A$6:$A$205,$B119)=0,"Trip ID not found",IF(($G119+$H119)&gt;($K119+$L119),"Check schedule",IF(MIN($N119,$O119,$P119,$Q119,$R119,$S119,$T119,$U119,$V119)&lt;0,"Negative value","OK")))))</f>
        <v/>
      </c>
    </row>
    <row r="120">
      <c r="A120" s="34" t="n"/>
      <c r="B120" s="34" t="n"/>
      <c r="C120" s="34" t="n"/>
      <c r="D120" s="34" t="n"/>
      <c r="E120" s="34" t="n"/>
      <c r="F120" s="34" t="n"/>
      <c r="G120" s="69" t="n"/>
      <c r="H120" s="36" t="n"/>
      <c r="I120" s="34" t="n"/>
      <c r="J120" s="34" t="n"/>
      <c r="K120" s="69" t="n"/>
      <c r="L120" s="36" t="n"/>
      <c r="M120" s="34" t="n"/>
      <c r="N120" s="75" t="n"/>
      <c r="O120" s="37" t="n"/>
      <c r="P120" s="37" t="n"/>
      <c r="Q120" s="37" t="n"/>
      <c r="R120" s="76" t="n"/>
      <c r="S120" s="77" t="n"/>
      <c r="T120" s="77" t="n"/>
      <c r="U120" s="77" t="n"/>
      <c r="V120" s="77" t="n"/>
      <c r="W120" s="34" t="n"/>
      <c r="X120" s="78" t="n"/>
      <c r="Y120" s="46" t="n"/>
      <c r="Z120" s="71">
        <f>IF($A120="","",SUM($S120:$U120))</f>
        <v/>
      </c>
      <c r="AA120" s="72">
        <f>IF($A120="","",IFERROR($Z120/$P120,0))</f>
        <v/>
      </c>
      <c r="AB120" s="41">
        <f>IF($A120="","",SUM($O120:$Q120))</f>
        <v/>
      </c>
      <c r="AC120" s="41">
        <f>IF($A120="","",IFERROR(INDEX('Planner'!$N$6:$N$205,MATCH($B120,'Planner'!$A$6:$A$205,0)),0))</f>
        <v/>
      </c>
      <c r="AD120" s="41">
        <f>IF($A120="","",$AC120-$O120-$Q120)</f>
        <v/>
      </c>
      <c r="AE120" s="41">
        <f>IF($A120="","",$AB120-$AC120)</f>
        <v/>
      </c>
      <c r="AF120" s="73">
        <f>IF($A120="","",IFERROR($AB120/'Settings'!$B$5,0))</f>
        <v/>
      </c>
      <c r="AG120" s="71">
        <f>IF($A120="","",$AF120*'Settings'!$B$4)</f>
        <v/>
      </c>
      <c r="AH120" s="71">
        <f>IF($A120="","",$AE120*'Settings'!$B$17)</f>
        <v/>
      </c>
      <c r="AI120" s="71">
        <f>IF($A120="","",$R120*'Settings'!$B$7)</f>
        <v/>
      </c>
      <c r="AJ120" s="71">
        <f>IF($A120="","",$Z120-$V120-$AH120-$AI120)</f>
        <v/>
      </c>
      <c r="AK120" s="72">
        <f>IF($A120="","",IFERROR($AJ120/$AB120,0))</f>
        <v/>
      </c>
      <c r="AL120" s="38">
        <f>IF($A120="","",IF(OR($C120="Passed",$C120="Expired",$C120="Canceled"),$C120,IF($C120="Completed","Completed",IF(AND($O120&lt;='Settings'!$B$8,$AA120&gt;='Settings'!$B$10,$AJ120&gt;='Settings'!$B$9),IF($C120="Booked","Booked - Meets Targets","Meets Targets"),IF($C120="Booked","Booked - Below Target","Review")))))</f>
        <v/>
      </c>
      <c r="AM120" s="38">
        <f>IF($A120="","",IF(COUNTIF($A$6:$A$205,$A120)&gt;1,"Duplicate Load ID",IF(COUNTIF('Planner'!$A$6:$A$205,$B120)=0,"Trip ID not found",IF(($G120+$H120)&gt;($K120+$L120),"Check schedule",IF(MIN($N120,$O120,$P120,$Q120,$R120,$S120,$T120,$U120,$V120)&lt;0,"Negative value","OK")))))</f>
        <v/>
      </c>
    </row>
    <row r="121">
      <c r="A121" s="34" t="n"/>
      <c r="B121" s="34" t="n"/>
      <c r="C121" s="34" t="n"/>
      <c r="D121" s="34" t="n"/>
      <c r="E121" s="34" t="n"/>
      <c r="F121" s="34" t="n"/>
      <c r="G121" s="69" t="n"/>
      <c r="H121" s="36" t="n"/>
      <c r="I121" s="34" t="n"/>
      <c r="J121" s="34" t="n"/>
      <c r="K121" s="69" t="n"/>
      <c r="L121" s="36" t="n"/>
      <c r="M121" s="34" t="n"/>
      <c r="N121" s="75" t="n"/>
      <c r="O121" s="37" t="n"/>
      <c r="P121" s="37" t="n"/>
      <c r="Q121" s="37" t="n"/>
      <c r="R121" s="76" t="n"/>
      <c r="S121" s="77" t="n"/>
      <c r="T121" s="77" t="n"/>
      <c r="U121" s="77" t="n"/>
      <c r="V121" s="77" t="n"/>
      <c r="W121" s="34" t="n"/>
      <c r="X121" s="78" t="n"/>
      <c r="Y121" s="46" t="n"/>
      <c r="Z121" s="71">
        <f>IF($A121="","",SUM($S121:$U121))</f>
        <v/>
      </c>
      <c r="AA121" s="72">
        <f>IF($A121="","",IFERROR($Z121/$P121,0))</f>
        <v/>
      </c>
      <c r="AB121" s="41">
        <f>IF($A121="","",SUM($O121:$Q121))</f>
        <v/>
      </c>
      <c r="AC121" s="41">
        <f>IF($A121="","",IFERROR(INDEX('Planner'!$N$6:$N$205,MATCH($B121,'Planner'!$A$6:$A$205,0)),0))</f>
        <v/>
      </c>
      <c r="AD121" s="41">
        <f>IF($A121="","",$AC121-$O121-$Q121)</f>
        <v/>
      </c>
      <c r="AE121" s="41">
        <f>IF($A121="","",$AB121-$AC121)</f>
        <v/>
      </c>
      <c r="AF121" s="73">
        <f>IF($A121="","",IFERROR($AB121/'Settings'!$B$5,0))</f>
        <v/>
      </c>
      <c r="AG121" s="71">
        <f>IF($A121="","",$AF121*'Settings'!$B$4)</f>
        <v/>
      </c>
      <c r="AH121" s="71">
        <f>IF($A121="","",$AE121*'Settings'!$B$17)</f>
        <v/>
      </c>
      <c r="AI121" s="71">
        <f>IF($A121="","",$R121*'Settings'!$B$7)</f>
        <v/>
      </c>
      <c r="AJ121" s="71">
        <f>IF($A121="","",$Z121-$V121-$AH121-$AI121)</f>
        <v/>
      </c>
      <c r="AK121" s="72">
        <f>IF($A121="","",IFERROR($AJ121/$AB121,0))</f>
        <v/>
      </c>
      <c r="AL121" s="38">
        <f>IF($A121="","",IF(OR($C121="Passed",$C121="Expired",$C121="Canceled"),$C121,IF($C121="Completed","Completed",IF(AND($O121&lt;='Settings'!$B$8,$AA121&gt;='Settings'!$B$10,$AJ121&gt;='Settings'!$B$9),IF($C121="Booked","Booked - Meets Targets","Meets Targets"),IF($C121="Booked","Booked - Below Target","Review")))))</f>
        <v/>
      </c>
      <c r="AM121" s="38">
        <f>IF($A121="","",IF(COUNTIF($A$6:$A$205,$A121)&gt;1,"Duplicate Load ID",IF(COUNTIF('Planner'!$A$6:$A$205,$B121)=0,"Trip ID not found",IF(($G121+$H121)&gt;($K121+$L121),"Check schedule",IF(MIN($N121,$O121,$P121,$Q121,$R121,$S121,$T121,$U121,$V121)&lt;0,"Negative value","OK")))))</f>
        <v/>
      </c>
    </row>
    <row r="122">
      <c r="A122" s="34" t="n"/>
      <c r="B122" s="34" t="n"/>
      <c r="C122" s="34" t="n"/>
      <c r="D122" s="34" t="n"/>
      <c r="E122" s="34" t="n"/>
      <c r="F122" s="34" t="n"/>
      <c r="G122" s="69" t="n"/>
      <c r="H122" s="36" t="n"/>
      <c r="I122" s="34" t="n"/>
      <c r="J122" s="34" t="n"/>
      <c r="K122" s="69" t="n"/>
      <c r="L122" s="36" t="n"/>
      <c r="M122" s="34" t="n"/>
      <c r="N122" s="75" t="n"/>
      <c r="O122" s="37" t="n"/>
      <c r="P122" s="37" t="n"/>
      <c r="Q122" s="37" t="n"/>
      <c r="R122" s="76" t="n"/>
      <c r="S122" s="77" t="n"/>
      <c r="T122" s="77" t="n"/>
      <c r="U122" s="77" t="n"/>
      <c r="V122" s="77" t="n"/>
      <c r="W122" s="34" t="n"/>
      <c r="X122" s="78" t="n"/>
      <c r="Y122" s="46" t="n"/>
      <c r="Z122" s="71">
        <f>IF($A122="","",SUM($S122:$U122))</f>
        <v/>
      </c>
      <c r="AA122" s="72">
        <f>IF($A122="","",IFERROR($Z122/$P122,0))</f>
        <v/>
      </c>
      <c r="AB122" s="41">
        <f>IF($A122="","",SUM($O122:$Q122))</f>
        <v/>
      </c>
      <c r="AC122" s="41">
        <f>IF($A122="","",IFERROR(INDEX('Planner'!$N$6:$N$205,MATCH($B122,'Planner'!$A$6:$A$205,0)),0))</f>
        <v/>
      </c>
      <c r="AD122" s="41">
        <f>IF($A122="","",$AC122-$O122-$Q122)</f>
        <v/>
      </c>
      <c r="AE122" s="41">
        <f>IF($A122="","",$AB122-$AC122)</f>
        <v/>
      </c>
      <c r="AF122" s="73">
        <f>IF($A122="","",IFERROR($AB122/'Settings'!$B$5,0))</f>
        <v/>
      </c>
      <c r="AG122" s="71">
        <f>IF($A122="","",$AF122*'Settings'!$B$4)</f>
        <v/>
      </c>
      <c r="AH122" s="71">
        <f>IF($A122="","",$AE122*'Settings'!$B$17)</f>
        <v/>
      </c>
      <c r="AI122" s="71">
        <f>IF($A122="","",$R122*'Settings'!$B$7)</f>
        <v/>
      </c>
      <c r="AJ122" s="71">
        <f>IF($A122="","",$Z122-$V122-$AH122-$AI122)</f>
        <v/>
      </c>
      <c r="AK122" s="72">
        <f>IF($A122="","",IFERROR($AJ122/$AB122,0))</f>
        <v/>
      </c>
      <c r="AL122" s="38">
        <f>IF($A122="","",IF(OR($C122="Passed",$C122="Expired",$C122="Canceled"),$C122,IF($C122="Completed","Completed",IF(AND($O122&lt;='Settings'!$B$8,$AA122&gt;='Settings'!$B$10,$AJ122&gt;='Settings'!$B$9),IF($C122="Booked","Booked - Meets Targets","Meets Targets"),IF($C122="Booked","Booked - Below Target","Review")))))</f>
        <v/>
      </c>
      <c r="AM122" s="38">
        <f>IF($A122="","",IF(COUNTIF($A$6:$A$205,$A122)&gt;1,"Duplicate Load ID",IF(COUNTIF('Planner'!$A$6:$A$205,$B122)=0,"Trip ID not found",IF(($G122+$H122)&gt;($K122+$L122),"Check schedule",IF(MIN($N122,$O122,$P122,$Q122,$R122,$S122,$T122,$U122,$V122)&lt;0,"Negative value","OK")))))</f>
        <v/>
      </c>
    </row>
    <row r="123">
      <c r="A123" s="34" t="n"/>
      <c r="B123" s="34" t="n"/>
      <c r="C123" s="34" t="n"/>
      <c r="D123" s="34" t="n"/>
      <c r="E123" s="34" t="n"/>
      <c r="F123" s="34" t="n"/>
      <c r="G123" s="69" t="n"/>
      <c r="H123" s="36" t="n"/>
      <c r="I123" s="34" t="n"/>
      <c r="J123" s="34" t="n"/>
      <c r="K123" s="69" t="n"/>
      <c r="L123" s="36" t="n"/>
      <c r="M123" s="34" t="n"/>
      <c r="N123" s="75" t="n"/>
      <c r="O123" s="37" t="n"/>
      <c r="P123" s="37" t="n"/>
      <c r="Q123" s="37" t="n"/>
      <c r="R123" s="76" t="n"/>
      <c r="S123" s="77" t="n"/>
      <c r="T123" s="77" t="n"/>
      <c r="U123" s="77" t="n"/>
      <c r="V123" s="77" t="n"/>
      <c r="W123" s="34" t="n"/>
      <c r="X123" s="78" t="n"/>
      <c r="Y123" s="46" t="n"/>
      <c r="Z123" s="71">
        <f>IF($A123="","",SUM($S123:$U123))</f>
        <v/>
      </c>
      <c r="AA123" s="72">
        <f>IF($A123="","",IFERROR($Z123/$P123,0))</f>
        <v/>
      </c>
      <c r="AB123" s="41">
        <f>IF($A123="","",SUM($O123:$Q123))</f>
        <v/>
      </c>
      <c r="AC123" s="41">
        <f>IF($A123="","",IFERROR(INDEX('Planner'!$N$6:$N$205,MATCH($B123,'Planner'!$A$6:$A$205,0)),0))</f>
        <v/>
      </c>
      <c r="AD123" s="41">
        <f>IF($A123="","",$AC123-$O123-$Q123)</f>
        <v/>
      </c>
      <c r="AE123" s="41">
        <f>IF($A123="","",$AB123-$AC123)</f>
        <v/>
      </c>
      <c r="AF123" s="73">
        <f>IF($A123="","",IFERROR($AB123/'Settings'!$B$5,0))</f>
        <v/>
      </c>
      <c r="AG123" s="71">
        <f>IF($A123="","",$AF123*'Settings'!$B$4)</f>
        <v/>
      </c>
      <c r="AH123" s="71">
        <f>IF($A123="","",$AE123*'Settings'!$B$17)</f>
        <v/>
      </c>
      <c r="AI123" s="71">
        <f>IF($A123="","",$R123*'Settings'!$B$7)</f>
        <v/>
      </c>
      <c r="AJ123" s="71">
        <f>IF($A123="","",$Z123-$V123-$AH123-$AI123)</f>
        <v/>
      </c>
      <c r="AK123" s="72">
        <f>IF($A123="","",IFERROR($AJ123/$AB123,0))</f>
        <v/>
      </c>
      <c r="AL123" s="38">
        <f>IF($A123="","",IF(OR($C123="Passed",$C123="Expired",$C123="Canceled"),$C123,IF($C123="Completed","Completed",IF(AND($O123&lt;='Settings'!$B$8,$AA123&gt;='Settings'!$B$10,$AJ123&gt;='Settings'!$B$9),IF($C123="Booked","Booked - Meets Targets","Meets Targets"),IF($C123="Booked","Booked - Below Target","Review")))))</f>
        <v/>
      </c>
      <c r="AM123" s="38">
        <f>IF($A123="","",IF(COUNTIF($A$6:$A$205,$A123)&gt;1,"Duplicate Load ID",IF(COUNTIF('Planner'!$A$6:$A$205,$B123)=0,"Trip ID not found",IF(($G123+$H123)&gt;($K123+$L123),"Check schedule",IF(MIN($N123,$O123,$P123,$Q123,$R123,$S123,$T123,$U123,$V123)&lt;0,"Negative value","OK")))))</f>
        <v/>
      </c>
    </row>
    <row r="124">
      <c r="A124" s="34" t="n"/>
      <c r="B124" s="34" t="n"/>
      <c r="C124" s="34" t="n"/>
      <c r="D124" s="34" t="n"/>
      <c r="E124" s="34" t="n"/>
      <c r="F124" s="34" t="n"/>
      <c r="G124" s="69" t="n"/>
      <c r="H124" s="36" t="n"/>
      <c r="I124" s="34" t="n"/>
      <c r="J124" s="34" t="n"/>
      <c r="K124" s="69" t="n"/>
      <c r="L124" s="36" t="n"/>
      <c r="M124" s="34" t="n"/>
      <c r="N124" s="75" t="n"/>
      <c r="O124" s="37" t="n"/>
      <c r="P124" s="37" t="n"/>
      <c r="Q124" s="37" t="n"/>
      <c r="R124" s="76" t="n"/>
      <c r="S124" s="77" t="n"/>
      <c r="T124" s="77" t="n"/>
      <c r="U124" s="77" t="n"/>
      <c r="V124" s="77" t="n"/>
      <c r="W124" s="34" t="n"/>
      <c r="X124" s="78" t="n"/>
      <c r="Y124" s="46" t="n"/>
      <c r="Z124" s="71">
        <f>IF($A124="","",SUM($S124:$U124))</f>
        <v/>
      </c>
      <c r="AA124" s="72">
        <f>IF($A124="","",IFERROR($Z124/$P124,0))</f>
        <v/>
      </c>
      <c r="AB124" s="41">
        <f>IF($A124="","",SUM($O124:$Q124))</f>
        <v/>
      </c>
      <c r="AC124" s="41">
        <f>IF($A124="","",IFERROR(INDEX('Planner'!$N$6:$N$205,MATCH($B124,'Planner'!$A$6:$A$205,0)),0))</f>
        <v/>
      </c>
      <c r="AD124" s="41">
        <f>IF($A124="","",$AC124-$O124-$Q124)</f>
        <v/>
      </c>
      <c r="AE124" s="41">
        <f>IF($A124="","",$AB124-$AC124)</f>
        <v/>
      </c>
      <c r="AF124" s="73">
        <f>IF($A124="","",IFERROR($AB124/'Settings'!$B$5,0))</f>
        <v/>
      </c>
      <c r="AG124" s="71">
        <f>IF($A124="","",$AF124*'Settings'!$B$4)</f>
        <v/>
      </c>
      <c r="AH124" s="71">
        <f>IF($A124="","",$AE124*'Settings'!$B$17)</f>
        <v/>
      </c>
      <c r="AI124" s="71">
        <f>IF($A124="","",$R124*'Settings'!$B$7)</f>
        <v/>
      </c>
      <c r="AJ124" s="71">
        <f>IF($A124="","",$Z124-$V124-$AH124-$AI124)</f>
        <v/>
      </c>
      <c r="AK124" s="72">
        <f>IF($A124="","",IFERROR($AJ124/$AB124,0))</f>
        <v/>
      </c>
      <c r="AL124" s="38">
        <f>IF($A124="","",IF(OR($C124="Passed",$C124="Expired",$C124="Canceled"),$C124,IF($C124="Completed","Completed",IF(AND($O124&lt;='Settings'!$B$8,$AA124&gt;='Settings'!$B$10,$AJ124&gt;='Settings'!$B$9),IF($C124="Booked","Booked - Meets Targets","Meets Targets"),IF($C124="Booked","Booked - Below Target","Review")))))</f>
        <v/>
      </c>
      <c r="AM124" s="38">
        <f>IF($A124="","",IF(COUNTIF($A$6:$A$205,$A124)&gt;1,"Duplicate Load ID",IF(COUNTIF('Planner'!$A$6:$A$205,$B124)=0,"Trip ID not found",IF(($G124+$H124)&gt;($K124+$L124),"Check schedule",IF(MIN($N124,$O124,$P124,$Q124,$R124,$S124,$T124,$U124,$V124)&lt;0,"Negative value","OK")))))</f>
        <v/>
      </c>
    </row>
    <row r="125">
      <c r="A125" s="34" t="n"/>
      <c r="B125" s="34" t="n"/>
      <c r="C125" s="34" t="n"/>
      <c r="D125" s="34" t="n"/>
      <c r="E125" s="34" t="n"/>
      <c r="F125" s="34" t="n"/>
      <c r="G125" s="69" t="n"/>
      <c r="H125" s="36" t="n"/>
      <c r="I125" s="34" t="n"/>
      <c r="J125" s="34" t="n"/>
      <c r="K125" s="69" t="n"/>
      <c r="L125" s="36" t="n"/>
      <c r="M125" s="34" t="n"/>
      <c r="N125" s="75" t="n"/>
      <c r="O125" s="37" t="n"/>
      <c r="P125" s="37" t="n"/>
      <c r="Q125" s="37" t="n"/>
      <c r="R125" s="76" t="n"/>
      <c r="S125" s="77" t="n"/>
      <c r="T125" s="77" t="n"/>
      <c r="U125" s="77" t="n"/>
      <c r="V125" s="77" t="n"/>
      <c r="W125" s="34" t="n"/>
      <c r="X125" s="78" t="n"/>
      <c r="Y125" s="46" t="n"/>
      <c r="Z125" s="71">
        <f>IF($A125="","",SUM($S125:$U125))</f>
        <v/>
      </c>
      <c r="AA125" s="72">
        <f>IF($A125="","",IFERROR($Z125/$P125,0))</f>
        <v/>
      </c>
      <c r="AB125" s="41">
        <f>IF($A125="","",SUM($O125:$Q125))</f>
        <v/>
      </c>
      <c r="AC125" s="41">
        <f>IF($A125="","",IFERROR(INDEX('Planner'!$N$6:$N$205,MATCH($B125,'Planner'!$A$6:$A$205,0)),0))</f>
        <v/>
      </c>
      <c r="AD125" s="41">
        <f>IF($A125="","",$AC125-$O125-$Q125)</f>
        <v/>
      </c>
      <c r="AE125" s="41">
        <f>IF($A125="","",$AB125-$AC125)</f>
        <v/>
      </c>
      <c r="AF125" s="73">
        <f>IF($A125="","",IFERROR($AB125/'Settings'!$B$5,0))</f>
        <v/>
      </c>
      <c r="AG125" s="71">
        <f>IF($A125="","",$AF125*'Settings'!$B$4)</f>
        <v/>
      </c>
      <c r="AH125" s="71">
        <f>IF($A125="","",$AE125*'Settings'!$B$17)</f>
        <v/>
      </c>
      <c r="AI125" s="71">
        <f>IF($A125="","",$R125*'Settings'!$B$7)</f>
        <v/>
      </c>
      <c r="AJ125" s="71">
        <f>IF($A125="","",$Z125-$V125-$AH125-$AI125)</f>
        <v/>
      </c>
      <c r="AK125" s="72">
        <f>IF($A125="","",IFERROR($AJ125/$AB125,0))</f>
        <v/>
      </c>
      <c r="AL125" s="38">
        <f>IF($A125="","",IF(OR($C125="Passed",$C125="Expired",$C125="Canceled"),$C125,IF($C125="Completed","Completed",IF(AND($O125&lt;='Settings'!$B$8,$AA125&gt;='Settings'!$B$10,$AJ125&gt;='Settings'!$B$9),IF($C125="Booked","Booked - Meets Targets","Meets Targets"),IF($C125="Booked","Booked - Below Target","Review")))))</f>
        <v/>
      </c>
      <c r="AM125" s="38">
        <f>IF($A125="","",IF(COUNTIF($A$6:$A$205,$A125)&gt;1,"Duplicate Load ID",IF(COUNTIF('Planner'!$A$6:$A$205,$B125)=0,"Trip ID not found",IF(($G125+$H125)&gt;($K125+$L125),"Check schedule",IF(MIN($N125,$O125,$P125,$Q125,$R125,$S125,$T125,$U125,$V125)&lt;0,"Negative value","OK")))))</f>
        <v/>
      </c>
    </row>
    <row r="126">
      <c r="A126" s="34" t="n"/>
      <c r="B126" s="34" t="n"/>
      <c r="C126" s="34" t="n"/>
      <c r="D126" s="34" t="n"/>
      <c r="E126" s="34" t="n"/>
      <c r="F126" s="34" t="n"/>
      <c r="G126" s="69" t="n"/>
      <c r="H126" s="36" t="n"/>
      <c r="I126" s="34" t="n"/>
      <c r="J126" s="34" t="n"/>
      <c r="K126" s="69" t="n"/>
      <c r="L126" s="36" t="n"/>
      <c r="M126" s="34" t="n"/>
      <c r="N126" s="75" t="n"/>
      <c r="O126" s="37" t="n"/>
      <c r="P126" s="37" t="n"/>
      <c r="Q126" s="37" t="n"/>
      <c r="R126" s="76" t="n"/>
      <c r="S126" s="77" t="n"/>
      <c r="T126" s="77" t="n"/>
      <c r="U126" s="77" t="n"/>
      <c r="V126" s="77" t="n"/>
      <c r="W126" s="34" t="n"/>
      <c r="X126" s="78" t="n"/>
      <c r="Y126" s="46" t="n"/>
      <c r="Z126" s="71">
        <f>IF($A126="","",SUM($S126:$U126))</f>
        <v/>
      </c>
      <c r="AA126" s="72">
        <f>IF($A126="","",IFERROR($Z126/$P126,0))</f>
        <v/>
      </c>
      <c r="AB126" s="41">
        <f>IF($A126="","",SUM($O126:$Q126))</f>
        <v/>
      </c>
      <c r="AC126" s="41">
        <f>IF($A126="","",IFERROR(INDEX('Planner'!$N$6:$N$205,MATCH($B126,'Planner'!$A$6:$A$205,0)),0))</f>
        <v/>
      </c>
      <c r="AD126" s="41">
        <f>IF($A126="","",$AC126-$O126-$Q126)</f>
        <v/>
      </c>
      <c r="AE126" s="41">
        <f>IF($A126="","",$AB126-$AC126)</f>
        <v/>
      </c>
      <c r="AF126" s="73">
        <f>IF($A126="","",IFERROR($AB126/'Settings'!$B$5,0))</f>
        <v/>
      </c>
      <c r="AG126" s="71">
        <f>IF($A126="","",$AF126*'Settings'!$B$4)</f>
        <v/>
      </c>
      <c r="AH126" s="71">
        <f>IF($A126="","",$AE126*'Settings'!$B$17)</f>
        <v/>
      </c>
      <c r="AI126" s="71">
        <f>IF($A126="","",$R126*'Settings'!$B$7)</f>
        <v/>
      </c>
      <c r="AJ126" s="71">
        <f>IF($A126="","",$Z126-$V126-$AH126-$AI126)</f>
        <v/>
      </c>
      <c r="AK126" s="72">
        <f>IF($A126="","",IFERROR($AJ126/$AB126,0))</f>
        <v/>
      </c>
      <c r="AL126" s="38">
        <f>IF($A126="","",IF(OR($C126="Passed",$C126="Expired",$C126="Canceled"),$C126,IF($C126="Completed","Completed",IF(AND($O126&lt;='Settings'!$B$8,$AA126&gt;='Settings'!$B$10,$AJ126&gt;='Settings'!$B$9),IF($C126="Booked","Booked - Meets Targets","Meets Targets"),IF($C126="Booked","Booked - Below Target","Review")))))</f>
        <v/>
      </c>
      <c r="AM126" s="38">
        <f>IF($A126="","",IF(COUNTIF($A$6:$A$205,$A126)&gt;1,"Duplicate Load ID",IF(COUNTIF('Planner'!$A$6:$A$205,$B126)=0,"Trip ID not found",IF(($G126+$H126)&gt;($K126+$L126),"Check schedule",IF(MIN($N126,$O126,$P126,$Q126,$R126,$S126,$T126,$U126,$V126)&lt;0,"Negative value","OK")))))</f>
        <v/>
      </c>
    </row>
    <row r="127">
      <c r="A127" s="34" t="n"/>
      <c r="B127" s="34" t="n"/>
      <c r="C127" s="34" t="n"/>
      <c r="D127" s="34" t="n"/>
      <c r="E127" s="34" t="n"/>
      <c r="F127" s="34" t="n"/>
      <c r="G127" s="69" t="n"/>
      <c r="H127" s="36" t="n"/>
      <c r="I127" s="34" t="n"/>
      <c r="J127" s="34" t="n"/>
      <c r="K127" s="69" t="n"/>
      <c r="L127" s="36" t="n"/>
      <c r="M127" s="34" t="n"/>
      <c r="N127" s="75" t="n"/>
      <c r="O127" s="37" t="n"/>
      <c r="P127" s="37" t="n"/>
      <c r="Q127" s="37" t="n"/>
      <c r="R127" s="76" t="n"/>
      <c r="S127" s="77" t="n"/>
      <c r="T127" s="77" t="n"/>
      <c r="U127" s="77" t="n"/>
      <c r="V127" s="77" t="n"/>
      <c r="W127" s="34" t="n"/>
      <c r="X127" s="78" t="n"/>
      <c r="Y127" s="46" t="n"/>
      <c r="Z127" s="71">
        <f>IF($A127="","",SUM($S127:$U127))</f>
        <v/>
      </c>
      <c r="AA127" s="72">
        <f>IF($A127="","",IFERROR($Z127/$P127,0))</f>
        <v/>
      </c>
      <c r="AB127" s="41">
        <f>IF($A127="","",SUM($O127:$Q127))</f>
        <v/>
      </c>
      <c r="AC127" s="41">
        <f>IF($A127="","",IFERROR(INDEX('Planner'!$N$6:$N$205,MATCH($B127,'Planner'!$A$6:$A$205,0)),0))</f>
        <v/>
      </c>
      <c r="AD127" s="41">
        <f>IF($A127="","",$AC127-$O127-$Q127)</f>
        <v/>
      </c>
      <c r="AE127" s="41">
        <f>IF($A127="","",$AB127-$AC127)</f>
        <v/>
      </c>
      <c r="AF127" s="73">
        <f>IF($A127="","",IFERROR($AB127/'Settings'!$B$5,0))</f>
        <v/>
      </c>
      <c r="AG127" s="71">
        <f>IF($A127="","",$AF127*'Settings'!$B$4)</f>
        <v/>
      </c>
      <c r="AH127" s="71">
        <f>IF($A127="","",$AE127*'Settings'!$B$17)</f>
        <v/>
      </c>
      <c r="AI127" s="71">
        <f>IF($A127="","",$R127*'Settings'!$B$7)</f>
        <v/>
      </c>
      <c r="AJ127" s="71">
        <f>IF($A127="","",$Z127-$V127-$AH127-$AI127)</f>
        <v/>
      </c>
      <c r="AK127" s="72">
        <f>IF($A127="","",IFERROR($AJ127/$AB127,0))</f>
        <v/>
      </c>
      <c r="AL127" s="38">
        <f>IF($A127="","",IF(OR($C127="Passed",$C127="Expired",$C127="Canceled"),$C127,IF($C127="Completed","Completed",IF(AND($O127&lt;='Settings'!$B$8,$AA127&gt;='Settings'!$B$10,$AJ127&gt;='Settings'!$B$9),IF($C127="Booked","Booked - Meets Targets","Meets Targets"),IF($C127="Booked","Booked - Below Target","Review")))))</f>
        <v/>
      </c>
      <c r="AM127" s="38">
        <f>IF($A127="","",IF(COUNTIF($A$6:$A$205,$A127)&gt;1,"Duplicate Load ID",IF(COUNTIF('Planner'!$A$6:$A$205,$B127)=0,"Trip ID not found",IF(($G127+$H127)&gt;($K127+$L127),"Check schedule",IF(MIN($N127,$O127,$P127,$Q127,$R127,$S127,$T127,$U127,$V127)&lt;0,"Negative value","OK")))))</f>
        <v/>
      </c>
    </row>
    <row r="128">
      <c r="A128" s="34" t="n"/>
      <c r="B128" s="34" t="n"/>
      <c r="C128" s="34" t="n"/>
      <c r="D128" s="34" t="n"/>
      <c r="E128" s="34" t="n"/>
      <c r="F128" s="34" t="n"/>
      <c r="G128" s="69" t="n"/>
      <c r="H128" s="36" t="n"/>
      <c r="I128" s="34" t="n"/>
      <c r="J128" s="34" t="n"/>
      <c r="K128" s="69" t="n"/>
      <c r="L128" s="36" t="n"/>
      <c r="M128" s="34" t="n"/>
      <c r="N128" s="75" t="n"/>
      <c r="O128" s="37" t="n"/>
      <c r="P128" s="37" t="n"/>
      <c r="Q128" s="37" t="n"/>
      <c r="R128" s="76" t="n"/>
      <c r="S128" s="77" t="n"/>
      <c r="T128" s="77" t="n"/>
      <c r="U128" s="77" t="n"/>
      <c r="V128" s="77" t="n"/>
      <c r="W128" s="34" t="n"/>
      <c r="X128" s="78" t="n"/>
      <c r="Y128" s="46" t="n"/>
      <c r="Z128" s="71">
        <f>IF($A128="","",SUM($S128:$U128))</f>
        <v/>
      </c>
      <c r="AA128" s="72">
        <f>IF($A128="","",IFERROR($Z128/$P128,0))</f>
        <v/>
      </c>
      <c r="AB128" s="41">
        <f>IF($A128="","",SUM($O128:$Q128))</f>
        <v/>
      </c>
      <c r="AC128" s="41">
        <f>IF($A128="","",IFERROR(INDEX('Planner'!$N$6:$N$205,MATCH($B128,'Planner'!$A$6:$A$205,0)),0))</f>
        <v/>
      </c>
      <c r="AD128" s="41">
        <f>IF($A128="","",$AC128-$O128-$Q128)</f>
        <v/>
      </c>
      <c r="AE128" s="41">
        <f>IF($A128="","",$AB128-$AC128)</f>
        <v/>
      </c>
      <c r="AF128" s="73">
        <f>IF($A128="","",IFERROR($AB128/'Settings'!$B$5,0))</f>
        <v/>
      </c>
      <c r="AG128" s="71">
        <f>IF($A128="","",$AF128*'Settings'!$B$4)</f>
        <v/>
      </c>
      <c r="AH128" s="71">
        <f>IF($A128="","",$AE128*'Settings'!$B$17)</f>
        <v/>
      </c>
      <c r="AI128" s="71">
        <f>IF($A128="","",$R128*'Settings'!$B$7)</f>
        <v/>
      </c>
      <c r="AJ128" s="71">
        <f>IF($A128="","",$Z128-$V128-$AH128-$AI128)</f>
        <v/>
      </c>
      <c r="AK128" s="72">
        <f>IF($A128="","",IFERROR($AJ128/$AB128,0))</f>
        <v/>
      </c>
      <c r="AL128" s="38">
        <f>IF($A128="","",IF(OR($C128="Passed",$C128="Expired",$C128="Canceled"),$C128,IF($C128="Completed","Completed",IF(AND($O128&lt;='Settings'!$B$8,$AA128&gt;='Settings'!$B$10,$AJ128&gt;='Settings'!$B$9),IF($C128="Booked","Booked - Meets Targets","Meets Targets"),IF($C128="Booked","Booked - Below Target","Review")))))</f>
        <v/>
      </c>
      <c r="AM128" s="38">
        <f>IF($A128="","",IF(COUNTIF($A$6:$A$205,$A128)&gt;1,"Duplicate Load ID",IF(COUNTIF('Planner'!$A$6:$A$205,$B128)=0,"Trip ID not found",IF(($G128+$H128)&gt;($K128+$L128),"Check schedule",IF(MIN($N128,$O128,$P128,$Q128,$R128,$S128,$T128,$U128,$V128)&lt;0,"Negative value","OK")))))</f>
        <v/>
      </c>
    </row>
    <row r="129">
      <c r="A129" s="34" t="n"/>
      <c r="B129" s="34" t="n"/>
      <c r="C129" s="34" t="n"/>
      <c r="D129" s="34" t="n"/>
      <c r="E129" s="34" t="n"/>
      <c r="F129" s="34" t="n"/>
      <c r="G129" s="69" t="n"/>
      <c r="H129" s="36" t="n"/>
      <c r="I129" s="34" t="n"/>
      <c r="J129" s="34" t="n"/>
      <c r="K129" s="69" t="n"/>
      <c r="L129" s="36" t="n"/>
      <c r="M129" s="34" t="n"/>
      <c r="N129" s="75" t="n"/>
      <c r="O129" s="37" t="n"/>
      <c r="P129" s="37" t="n"/>
      <c r="Q129" s="37" t="n"/>
      <c r="R129" s="76" t="n"/>
      <c r="S129" s="77" t="n"/>
      <c r="T129" s="77" t="n"/>
      <c r="U129" s="77" t="n"/>
      <c r="V129" s="77" t="n"/>
      <c r="W129" s="34" t="n"/>
      <c r="X129" s="78" t="n"/>
      <c r="Y129" s="46" t="n"/>
      <c r="Z129" s="71">
        <f>IF($A129="","",SUM($S129:$U129))</f>
        <v/>
      </c>
      <c r="AA129" s="72">
        <f>IF($A129="","",IFERROR($Z129/$P129,0))</f>
        <v/>
      </c>
      <c r="AB129" s="41">
        <f>IF($A129="","",SUM($O129:$Q129))</f>
        <v/>
      </c>
      <c r="AC129" s="41">
        <f>IF($A129="","",IFERROR(INDEX('Planner'!$N$6:$N$205,MATCH($B129,'Planner'!$A$6:$A$205,0)),0))</f>
        <v/>
      </c>
      <c r="AD129" s="41">
        <f>IF($A129="","",$AC129-$O129-$Q129)</f>
        <v/>
      </c>
      <c r="AE129" s="41">
        <f>IF($A129="","",$AB129-$AC129)</f>
        <v/>
      </c>
      <c r="AF129" s="73">
        <f>IF($A129="","",IFERROR($AB129/'Settings'!$B$5,0))</f>
        <v/>
      </c>
      <c r="AG129" s="71">
        <f>IF($A129="","",$AF129*'Settings'!$B$4)</f>
        <v/>
      </c>
      <c r="AH129" s="71">
        <f>IF($A129="","",$AE129*'Settings'!$B$17)</f>
        <v/>
      </c>
      <c r="AI129" s="71">
        <f>IF($A129="","",$R129*'Settings'!$B$7)</f>
        <v/>
      </c>
      <c r="AJ129" s="71">
        <f>IF($A129="","",$Z129-$V129-$AH129-$AI129)</f>
        <v/>
      </c>
      <c r="AK129" s="72">
        <f>IF($A129="","",IFERROR($AJ129/$AB129,0))</f>
        <v/>
      </c>
      <c r="AL129" s="38">
        <f>IF($A129="","",IF(OR($C129="Passed",$C129="Expired",$C129="Canceled"),$C129,IF($C129="Completed","Completed",IF(AND($O129&lt;='Settings'!$B$8,$AA129&gt;='Settings'!$B$10,$AJ129&gt;='Settings'!$B$9),IF($C129="Booked","Booked - Meets Targets","Meets Targets"),IF($C129="Booked","Booked - Below Target","Review")))))</f>
        <v/>
      </c>
      <c r="AM129" s="38">
        <f>IF($A129="","",IF(COUNTIF($A$6:$A$205,$A129)&gt;1,"Duplicate Load ID",IF(COUNTIF('Planner'!$A$6:$A$205,$B129)=0,"Trip ID not found",IF(($G129+$H129)&gt;($K129+$L129),"Check schedule",IF(MIN($N129,$O129,$P129,$Q129,$R129,$S129,$T129,$U129,$V129)&lt;0,"Negative value","OK")))))</f>
        <v/>
      </c>
    </row>
    <row r="130">
      <c r="A130" s="34" t="n"/>
      <c r="B130" s="34" t="n"/>
      <c r="C130" s="34" t="n"/>
      <c r="D130" s="34" t="n"/>
      <c r="E130" s="34" t="n"/>
      <c r="F130" s="34" t="n"/>
      <c r="G130" s="69" t="n"/>
      <c r="H130" s="36" t="n"/>
      <c r="I130" s="34" t="n"/>
      <c r="J130" s="34" t="n"/>
      <c r="K130" s="69" t="n"/>
      <c r="L130" s="36" t="n"/>
      <c r="M130" s="34" t="n"/>
      <c r="N130" s="75" t="n"/>
      <c r="O130" s="37" t="n"/>
      <c r="P130" s="37" t="n"/>
      <c r="Q130" s="37" t="n"/>
      <c r="R130" s="76" t="n"/>
      <c r="S130" s="77" t="n"/>
      <c r="T130" s="77" t="n"/>
      <c r="U130" s="77" t="n"/>
      <c r="V130" s="77" t="n"/>
      <c r="W130" s="34" t="n"/>
      <c r="X130" s="78" t="n"/>
      <c r="Y130" s="46" t="n"/>
      <c r="Z130" s="71">
        <f>IF($A130="","",SUM($S130:$U130))</f>
        <v/>
      </c>
      <c r="AA130" s="72">
        <f>IF($A130="","",IFERROR($Z130/$P130,0))</f>
        <v/>
      </c>
      <c r="AB130" s="41">
        <f>IF($A130="","",SUM($O130:$Q130))</f>
        <v/>
      </c>
      <c r="AC130" s="41">
        <f>IF($A130="","",IFERROR(INDEX('Planner'!$N$6:$N$205,MATCH($B130,'Planner'!$A$6:$A$205,0)),0))</f>
        <v/>
      </c>
      <c r="AD130" s="41">
        <f>IF($A130="","",$AC130-$O130-$Q130)</f>
        <v/>
      </c>
      <c r="AE130" s="41">
        <f>IF($A130="","",$AB130-$AC130)</f>
        <v/>
      </c>
      <c r="AF130" s="73">
        <f>IF($A130="","",IFERROR($AB130/'Settings'!$B$5,0))</f>
        <v/>
      </c>
      <c r="AG130" s="71">
        <f>IF($A130="","",$AF130*'Settings'!$B$4)</f>
        <v/>
      </c>
      <c r="AH130" s="71">
        <f>IF($A130="","",$AE130*'Settings'!$B$17)</f>
        <v/>
      </c>
      <c r="AI130" s="71">
        <f>IF($A130="","",$R130*'Settings'!$B$7)</f>
        <v/>
      </c>
      <c r="AJ130" s="71">
        <f>IF($A130="","",$Z130-$V130-$AH130-$AI130)</f>
        <v/>
      </c>
      <c r="AK130" s="72">
        <f>IF($A130="","",IFERROR($AJ130/$AB130,0))</f>
        <v/>
      </c>
      <c r="AL130" s="38">
        <f>IF($A130="","",IF(OR($C130="Passed",$C130="Expired",$C130="Canceled"),$C130,IF($C130="Completed","Completed",IF(AND($O130&lt;='Settings'!$B$8,$AA130&gt;='Settings'!$B$10,$AJ130&gt;='Settings'!$B$9),IF($C130="Booked","Booked - Meets Targets","Meets Targets"),IF($C130="Booked","Booked - Below Target","Review")))))</f>
        <v/>
      </c>
      <c r="AM130" s="38">
        <f>IF($A130="","",IF(COUNTIF($A$6:$A$205,$A130)&gt;1,"Duplicate Load ID",IF(COUNTIF('Planner'!$A$6:$A$205,$B130)=0,"Trip ID not found",IF(($G130+$H130)&gt;($K130+$L130),"Check schedule",IF(MIN($N130,$O130,$P130,$Q130,$R130,$S130,$T130,$U130,$V130)&lt;0,"Negative value","OK")))))</f>
        <v/>
      </c>
    </row>
    <row r="131">
      <c r="A131" s="34" t="n"/>
      <c r="B131" s="34" t="n"/>
      <c r="C131" s="34" t="n"/>
      <c r="D131" s="34" t="n"/>
      <c r="E131" s="34" t="n"/>
      <c r="F131" s="34" t="n"/>
      <c r="G131" s="69" t="n"/>
      <c r="H131" s="36" t="n"/>
      <c r="I131" s="34" t="n"/>
      <c r="J131" s="34" t="n"/>
      <c r="K131" s="69" t="n"/>
      <c r="L131" s="36" t="n"/>
      <c r="M131" s="34" t="n"/>
      <c r="N131" s="75" t="n"/>
      <c r="O131" s="37" t="n"/>
      <c r="P131" s="37" t="n"/>
      <c r="Q131" s="37" t="n"/>
      <c r="R131" s="76" t="n"/>
      <c r="S131" s="77" t="n"/>
      <c r="T131" s="77" t="n"/>
      <c r="U131" s="77" t="n"/>
      <c r="V131" s="77" t="n"/>
      <c r="W131" s="34" t="n"/>
      <c r="X131" s="78" t="n"/>
      <c r="Y131" s="46" t="n"/>
      <c r="Z131" s="71">
        <f>IF($A131="","",SUM($S131:$U131))</f>
        <v/>
      </c>
      <c r="AA131" s="72">
        <f>IF($A131="","",IFERROR($Z131/$P131,0))</f>
        <v/>
      </c>
      <c r="AB131" s="41">
        <f>IF($A131="","",SUM($O131:$Q131))</f>
        <v/>
      </c>
      <c r="AC131" s="41">
        <f>IF($A131="","",IFERROR(INDEX('Planner'!$N$6:$N$205,MATCH($B131,'Planner'!$A$6:$A$205,0)),0))</f>
        <v/>
      </c>
      <c r="AD131" s="41">
        <f>IF($A131="","",$AC131-$O131-$Q131)</f>
        <v/>
      </c>
      <c r="AE131" s="41">
        <f>IF($A131="","",$AB131-$AC131)</f>
        <v/>
      </c>
      <c r="AF131" s="73">
        <f>IF($A131="","",IFERROR($AB131/'Settings'!$B$5,0))</f>
        <v/>
      </c>
      <c r="AG131" s="71">
        <f>IF($A131="","",$AF131*'Settings'!$B$4)</f>
        <v/>
      </c>
      <c r="AH131" s="71">
        <f>IF($A131="","",$AE131*'Settings'!$B$17)</f>
        <v/>
      </c>
      <c r="AI131" s="71">
        <f>IF($A131="","",$R131*'Settings'!$B$7)</f>
        <v/>
      </c>
      <c r="AJ131" s="71">
        <f>IF($A131="","",$Z131-$V131-$AH131-$AI131)</f>
        <v/>
      </c>
      <c r="AK131" s="72">
        <f>IF($A131="","",IFERROR($AJ131/$AB131,0))</f>
        <v/>
      </c>
      <c r="AL131" s="38">
        <f>IF($A131="","",IF(OR($C131="Passed",$C131="Expired",$C131="Canceled"),$C131,IF($C131="Completed","Completed",IF(AND($O131&lt;='Settings'!$B$8,$AA131&gt;='Settings'!$B$10,$AJ131&gt;='Settings'!$B$9),IF($C131="Booked","Booked - Meets Targets","Meets Targets"),IF($C131="Booked","Booked - Below Target","Review")))))</f>
        <v/>
      </c>
      <c r="AM131" s="38">
        <f>IF($A131="","",IF(COUNTIF($A$6:$A$205,$A131)&gt;1,"Duplicate Load ID",IF(COUNTIF('Planner'!$A$6:$A$205,$B131)=0,"Trip ID not found",IF(($G131+$H131)&gt;($K131+$L131),"Check schedule",IF(MIN($N131,$O131,$P131,$Q131,$R131,$S131,$T131,$U131,$V131)&lt;0,"Negative value","OK")))))</f>
        <v/>
      </c>
    </row>
    <row r="132">
      <c r="A132" s="34" t="n"/>
      <c r="B132" s="34" t="n"/>
      <c r="C132" s="34" t="n"/>
      <c r="D132" s="34" t="n"/>
      <c r="E132" s="34" t="n"/>
      <c r="F132" s="34" t="n"/>
      <c r="G132" s="69" t="n"/>
      <c r="H132" s="36" t="n"/>
      <c r="I132" s="34" t="n"/>
      <c r="J132" s="34" t="n"/>
      <c r="K132" s="69" t="n"/>
      <c r="L132" s="36" t="n"/>
      <c r="M132" s="34" t="n"/>
      <c r="N132" s="75" t="n"/>
      <c r="O132" s="37" t="n"/>
      <c r="P132" s="37" t="n"/>
      <c r="Q132" s="37" t="n"/>
      <c r="R132" s="76" t="n"/>
      <c r="S132" s="77" t="n"/>
      <c r="T132" s="77" t="n"/>
      <c r="U132" s="77" t="n"/>
      <c r="V132" s="77" t="n"/>
      <c r="W132" s="34" t="n"/>
      <c r="X132" s="78" t="n"/>
      <c r="Y132" s="46" t="n"/>
      <c r="Z132" s="71">
        <f>IF($A132="","",SUM($S132:$U132))</f>
        <v/>
      </c>
      <c r="AA132" s="72">
        <f>IF($A132="","",IFERROR($Z132/$P132,0))</f>
        <v/>
      </c>
      <c r="AB132" s="41">
        <f>IF($A132="","",SUM($O132:$Q132))</f>
        <v/>
      </c>
      <c r="AC132" s="41">
        <f>IF($A132="","",IFERROR(INDEX('Planner'!$N$6:$N$205,MATCH($B132,'Planner'!$A$6:$A$205,0)),0))</f>
        <v/>
      </c>
      <c r="AD132" s="41">
        <f>IF($A132="","",$AC132-$O132-$Q132)</f>
        <v/>
      </c>
      <c r="AE132" s="41">
        <f>IF($A132="","",$AB132-$AC132)</f>
        <v/>
      </c>
      <c r="AF132" s="73">
        <f>IF($A132="","",IFERROR($AB132/'Settings'!$B$5,0))</f>
        <v/>
      </c>
      <c r="AG132" s="71">
        <f>IF($A132="","",$AF132*'Settings'!$B$4)</f>
        <v/>
      </c>
      <c r="AH132" s="71">
        <f>IF($A132="","",$AE132*'Settings'!$B$17)</f>
        <v/>
      </c>
      <c r="AI132" s="71">
        <f>IF($A132="","",$R132*'Settings'!$B$7)</f>
        <v/>
      </c>
      <c r="AJ132" s="71">
        <f>IF($A132="","",$Z132-$V132-$AH132-$AI132)</f>
        <v/>
      </c>
      <c r="AK132" s="72">
        <f>IF($A132="","",IFERROR($AJ132/$AB132,0))</f>
        <v/>
      </c>
      <c r="AL132" s="38">
        <f>IF($A132="","",IF(OR($C132="Passed",$C132="Expired",$C132="Canceled"),$C132,IF($C132="Completed","Completed",IF(AND($O132&lt;='Settings'!$B$8,$AA132&gt;='Settings'!$B$10,$AJ132&gt;='Settings'!$B$9),IF($C132="Booked","Booked - Meets Targets","Meets Targets"),IF($C132="Booked","Booked - Below Target","Review")))))</f>
        <v/>
      </c>
      <c r="AM132" s="38">
        <f>IF($A132="","",IF(COUNTIF($A$6:$A$205,$A132)&gt;1,"Duplicate Load ID",IF(COUNTIF('Planner'!$A$6:$A$205,$B132)=0,"Trip ID not found",IF(($G132+$H132)&gt;($K132+$L132),"Check schedule",IF(MIN($N132,$O132,$P132,$Q132,$R132,$S132,$T132,$U132,$V132)&lt;0,"Negative value","OK")))))</f>
        <v/>
      </c>
    </row>
    <row r="133">
      <c r="A133" s="34" t="n"/>
      <c r="B133" s="34" t="n"/>
      <c r="C133" s="34" t="n"/>
      <c r="D133" s="34" t="n"/>
      <c r="E133" s="34" t="n"/>
      <c r="F133" s="34" t="n"/>
      <c r="G133" s="69" t="n"/>
      <c r="H133" s="36" t="n"/>
      <c r="I133" s="34" t="n"/>
      <c r="J133" s="34" t="n"/>
      <c r="K133" s="69" t="n"/>
      <c r="L133" s="36" t="n"/>
      <c r="M133" s="34" t="n"/>
      <c r="N133" s="75" t="n"/>
      <c r="O133" s="37" t="n"/>
      <c r="P133" s="37" t="n"/>
      <c r="Q133" s="37" t="n"/>
      <c r="R133" s="76" t="n"/>
      <c r="S133" s="77" t="n"/>
      <c r="T133" s="77" t="n"/>
      <c r="U133" s="77" t="n"/>
      <c r="V133" s="77" t="n"/>
      <c r="W133" s="34" t="n"/>
      <c r="X133" s="78" t="n"/>
      <c r="Y133" s="46" t="n"/>
      <c r="Z133" s="71">
        <f>IF($A133="","",SUM($S133:$U133))</f>
        <v/>
      </c>
      <c r="AA133" s="72">
        <f>IF($A133="","",IFERROR($Z133/$P133,0))</f>
        <v/>
      </c>
      <c r="AB133" s="41">
        <f>IF($A133="","",SUM($O133:$Q133))</f>
        <v/>
      </c>
      <c r="AC133" s="41">
        <f>IF($A133="","",IFERROR(INDEX('Planner'!$N$6:$N$205,MATCH($B133,'Planner'!$A$6:$A$205,0)),0))</f>
        <v/>
      </c>
      <c r="AD133" s="41">
        <f>IF($A133="","",$AC133-$O133-$Q133)</f>
        <v/>
      </c>
      <c r="AE133" s="41">
        <f>IF($A133="","",$AB133-$AC133)</f>
        <v/>
      </c>
      <c r="AF133" s="73">
        <f>IF($A133="","",IFERROR($AB133/'Settings'!$B$5,0))</f>
        <v/>
      </c>
      <c r="AG133" s="71">
        <f>IF($A133="","",$AF133*'Settings'!$B$4)</f>
        <v/>
      </c>
      <c r="AH133" s="71">
        <f>IF($A133="","",$AE133*'Settings'!$B$17)</f>
        <v/>
      </c>
      <c r="AI133" s="71">
        <f>IF($A133="","",$R133*'Settings'!$B$7)</f>
        <v/>
      </c>
      <c r="AJ133" s="71">
        <f>IF($A133="","",$Z133-$V133-$AH133-$AI133)</f>
        <v/>
      </c>
      <c r="AK133" s="72">
        <f>IF($A133="","",IFERROR($AJ133/$AB133,0))</f>
        <v/>
      </c>
      <c r="AL133" s="38">
        <f>IF($A133="","",IF(OR($C133="Passed",$C133="Expired",$C133="Canceled"),$C133,IF($C133="Completed","Completed",IF(AND($O133&lt;='Settings'!$B$8,$AA133&gt;='Settings'!$B$10,$AJ133&gt;='Settings'!$B$9),IF($C133="Booked","Booked - Meets Targets","Meets Targets"),IF($C133="Booked","Booked - Below Target","Review")))))</f>
        <v/>
      </c>
      <c r="AM133" s="38">
        <f>IF($A133="","",IF(COUNTIF($A$6:$A$205,$A133)&gt;1,"Duplicate Load ID",IF(COUNTIF('Planner'!$A$6:$A$205,$B133)=0,"Trip ID not found",IF(($G133+$H133)&gt;($K133+$L133),"Check schedule",IF(MIN($N133,$O133,$P133,$Q133,$R133,$S133,$T133,$U133,$V133)&lt;0,"Negative value","OK")))))</f>
        <v/>
      </c>
    </row>
    <row r="134">
      <c r="A134" s="34" t="n"/>
      <c r="B134" s="34" t="n"/>
      <c r="C134" s="34" t="n"/>
      <c r="D134" s="34" t="n"/>
      <c r="E134" s="34" t="n"/>
      <c r="F134" s="34" t="n"/>
      <c r="G134" s="69" t="n"/>
      <c r="H134" s="36" t="n"/>
      <c r="I134" s="34" t="n"/>
      <c r="J134" s="34" t="n"/>
      <c r="K134" s="69" t="n"/>
      <c r="L134" s="36" t="n"/>
      <c r="M134" s="34" t="n"/>
      <c r="N134" s="75" t="n"/>
      <c r="O134" s="37" t="n"/>
      <c r="P134" s="37" t="n"/>
      <c r="Q134" s="37" t="n"/>
      <c r="R134" s="76" t="n"/>
      <c r="S134" s="77" t="n"/>
      <c r="T134" s="77" t="n"/>
      <c r="U134" s="77" t="n"/>
      <c r="V134" s="77" t="n"/>
      <c r="W134" s="34" t="n"/>
      <c r="X134" s="78" t="n"/>
      <c r="Y134" s="46" t="n"/>
      <c r="Z134" s="71">
        <f>IF($A134="","",SUM($S134:$U134))</f>
        <v/>
      </c>
      <c r="AA134" s="72">
        <f>IF($A134="","",IFERROR($Z134/$P134,0))</f>
        <v/>
      </c>
      <c r="AB134" s="41">
        <f>IF($A134="","",SUM($O134:$Q134))</f>
        <v/>
      </c>
      <c r="AC134" s="41">
        <f>IF($A134="","",IFERROR(INDEX('Planner'!$N$6:$N$205,MATCH($B134,'Planner'!$A$6:$A$205,0)),0))</f>
        <v/>
      </c>
      <c r="AD134" s="41">
        <f>IF($A134="","",$AC134-$O134-$Q134)</f>
        <v/>
      </c>
      <c r="AE134" s="41">
        <f>IF($A134="","",$AB134-$AC134)</f>
        <v/>
      </c>
      <c r="AF134" s="73">
        <f>IF($A134="","",IFERROR($AB134/'Settings'!$B$5,0))</f>
        <v/>
      </c>
      <c r="AG134" s="71">
        <f>IF($A134="","",$AF134*'Settings'!$B$4)</f>
        <v/>
      </c>
      <c r="AH134" s="71">
        <f>IF($A134="","",$AE134*'Settings'!$B$17)</f>
        <v/>
      </c>
      <c r="AI134" s="71">
        <f>IF($A134="","",$R134*'Settings'!$B$7)</f>
        <v/>
      </c>
      <c r="AJ134" s="71">
        <f>IF($A134="","",$Z134-$V134-$AH134-$AI134)</f>
        <v/>
      </c>
      <c r="AK134" s="72">
        <f>IF($A134="","",IFERROR($AJ134/$AB134,0))</f>
        <v/>
      </c>
      <c r="AL134" s="38">
        <f>IF($A134="","",IF(OR($C134="Passed",$C134="Expired",$C134="Canceled"),$C134,IF($C134="Completed","Completed",IF(AND($O134&lt;='Settings'!$B$8,$AA134&gt;='Settings'!$B$10,$AJ134&gt;='Settings'!$B$9),IF($C134="Booked","Booked - Meets Targets","Meets Targets"),IF($C134="Booked","Booked - Below Target","Review")))))</f>
        <v/>
      </c>
      <c r="AM134" s="38">
        <f>IF($A134="","",IF(COUNTIF($A$6:$A$205,$A134)&gt;1,"Duplicate Load ID",IF(COUNTIF('Planner'!$A$6:$A$205,$B134)=0,"Trip ID not found",IF(($G134+$H134)&gt;($K134+$L134),"Check schedule",IF(MIN($N134,$O134,$P134,$Q134,$R134,$S134,$T134,$U134,$V134)&lt;0,"Negative value","OK")))))</f>
        <v/>
      </c>
    </row>
    <row r="135">
      <c r="A135" s="34" t="n"/>
      <c r="B135" s="34" t="n"/>
      <c r="C135" s="34" t="n"/>
      <c r="D135" s="34" t="n"/>
      <c r="E135" s="34" t="n"/>
      <c r="F135" s="34" t="n"/>
      <c r="G135" s="69" t="n"/>
      <c r="H135" s="36" t="n"/>
      <c r="I135" s="34" t="n"/>
      <c r="J135" s="34" t="n"/>
      <c r="K135" s="69" t="n"/>
      <c r="L135" s="36" t="n"/>
      <c r="M135" s="34" t="n"/>
      <c r="N135" s="75" t="n"/>
      <c r="O135" s="37" t="n"/>
      <c r="P135" s="37" t="n"/>
      <c r="Q135" s="37" t="n"/>
      <c r="R135" s="76" t="n"/>
      <c r="S135" s="77" t="n"/>
      <c r="T135" s="77" t="n"/>
      <c r="U135" s="77" t="n"/>
      <c r="V135" s="77" t="n"/>
      <c r="W135" s="34" t="n"/>
      <c r="X135" s="78" t="n"/>
      <c r="Y135" s="46" t="n"/>
      <c r="Z135" s="71">
        <f>IF($A135="","",SUM($S135:$U135))</f>
        <v/>
      </c>
      <c r="AA135" s="72">
        <f>IF($A135="","",IFERROR($Z135/$P135,0))</f>
        <v/>
      </c>
      <c r="AB135" s="41">
        <f>IF($A135="","",SUM($O135:$Q135))</f>
        <v/>
      </c>
      <c r="AC135" s="41">
        <f>IF($A135="","",IFERROR(INDEX('Planner'!$N$6:$N$205,MATCH($B135,'Planner'!$A$6:$A$205,0)),0))</f>
        <v/>
      </c>
      <c r="AD135" s="41">
        <f>IF($A135="","",$AC135-$O135-$Q135)</f>
        <v/>
      </c>
      <c r="AE135" s="41">
        <f>IF($A135="","",$AB135-$AC135)</f>
        <v/>
      </c>
      <c r="AF135" s="73">
        <f>IF($A135="","",IFERROR($AB135/'Settings'!$B$5,0))</f>
        <v/>
      </c>
      <c r="AG135" s="71">
        <f>IF($A135="","",$AF135*'Settings'!$B$4)</f>
        <v/>
      </c>
      <c r="AH135" s="71">
        <f>IF($A135="","",$AE135*'Settings'!$B$17)</f>
        <v/>
      </c>
      <c r="AI135" s="71">
        <f>IF($A135="","",$R135*'Settings'!$B$7)</f>
        <v/>
      </c>
      <c r="AJ135" s="71">
        <f>IF($A135="","",$Z135-$V135-$AH135-$AI135)</f>
        <v/>
      </c>
      <c r="AK135" s="72">
        <f>IF($A135="","",IFERROR($AJ135/$AB135,0))</f>
        <v/>
      </c>
      <c r="AL135" s="38">
        <f>IF($A135="","",IF(OR($C135="Passed",$C135="Expired",$C135="Canceled"),$C135,IF($C135="Completed","Completed",IF(AND($O135&lt;='Settings'!$B$8,$AA135&gt;='Settings'!$B$10,$AJ135&gt;='Settings'!$B$9),IF($C135="Booked","Booked - Meets Targets","Meets Targets"),IF($C135="Booked","Booked - Below Target","Review")))))</f>
        <v/>
      </c>
      <c r="AM135" s="38">
        <f>IF($A135="","",IF(COUNTIF($A$6:$A$205,$A135)&gt;1,"Duplicate Load ID",IF(COUNTIF('Planner'!$A$6:$A$205,$B135)=0,"Trip ID not found",IF(($G135+$H135)&gt;($K135+$L135),"Check schedule",IF(MIN($N135,$O135,$P135,$Q135,$R135,$S135,$T135,$U135,$V135)&lt;0,"Negative value","OK")))))</f>
        <v/>
      </c>
    </row>
    <row r="136">
      <c r="A136" s="34" t="n"/>
      <c r="B136" s="34" t="n"/>
      <c r="C136" s="34" t="n"/>
      <c r="D136" s="34" t="n"/>
      <c r="E136" s="34" t="n"/>
      <c r="F136" s="34" t="n"/>
      <c r="G136" s="69" t="n"/>
      <c r="H136" s="36" t="n"/>
      <c r="I136" s="34" t="n"/>
      <c r="J136" s="34" t="n"/>
      <c r="K136" s="69" t="n"/>
      <c r="L136" s="36" t="n"/>
      <c r="M136" s="34" t="n"/>
      <c r="N136" s="75" t="n"/>
      <c r="O136" s="37" t="n"/>
      <c r="P136" s="37" t="n"/>
      <c r="Q136" s="37" t="n"/>
      <c r="R136" s="76" t="n"/>
      <c r="S136" s="77" t="n"/>
      <c r="T136" s="77" t="n"/>
      <c r="U136" s="77" t="n"/>
      <c r="V136" s="77" t="n"/>
      <c r="W136" s="34" t="n"/>
      <c r="X136" s="78" t="n"/>
      <c r="Y136" s="46" t="n"/>
      <c r="Z136" s="71">
        <f>IF($A136="","",SUM($S136:$U136))</f>
        <v/>
      </c>
      <c r="AA136" s="72">
        <f>IF($A136="","",IFERROR($Z136/$P136,0))</f>
        <v/>
      </c>
      <c r="AB136" s="41">
        <f>IF($A136="","",SUM($O136:$Q136))</f>
        <v/>
      </c>
      <c r="AC136" s="41">
        <f>IF($A136="","",IFERROR(INDEX('Planner'!$N$6:$N$205,MATCH($B136,'Planner'!$A$6:$A$205,0)),0))</f>
        <v/>
      </c>
      <c r="AD136" s="41">
        <f>IF($A136="","",$AC136-$O136-$Q136)</f>
        <v/>
      </c>
      <c r="AE136" s="41">
        <f>IF($A136="","",$AB136-$AC136)</f>
        <v/>
      </c>
      <c r="AF136" s="73">
        <f>IF($A136="","",IFERROR($AB136/'Settings'!$B$5,0))</f>
        <v/>
      </c>
      <c r="AG136" s="71">
        <f>IF($A136="","",$AF136*'Settings'!$B$4)</f>
        <v/>
      </c>
      <c r="AH136" s="71">
        <f>IF($A136="","",$AE136*'Settings'!$B$17)</f>
        <v/>
      </c>
      <c r="AI136" s="71">
        <f>IF($A136="","",$R136*'Settings'!$B$7)</f>
        <v/>
      </c>
      <c r="AJ136" s="71">
        <f>IF($A136="","",$Z136-$V136-$AH136-$AI136)</f>
        <v/>
      </c>
      <c r="AK136" s="72">
        <f>IF($A136="","",IFERROR($AJ136/$AB136,0))</f>
        <v/>
      </c>
      <c r="AL136" s="38">
        <f>IF($A136="","",IF(OR($C136="Passed",$C136="Expired",$C136="Canceled"),$C136,IF($C136="Completed","Completed",IF(AND($O136&lt;='Settings'!$B$8,$AA136&gt;='Settings'!$B$10,$AJ136&gt;='Settings'!$B$9),IF($C136="Booked","Booked - Meets Targets","Meets Targets"),IF($C136="Booked","Booked - Below Target","Review")))))</f>
        <v/>
      </c>
      <c r="AM136" s="38">
        <f>IF($A136="","",IF(COUNTIF($A$6:$A$205,$A136)&gt;1,"Duplicate Load ID",IF(COUNTIF('Planner'!$A$6:$A$205,$B136)=0,"Trip ID not found",IF(($G136+$H136)&gt;($K136+$L136),"Check schedule",IF(MIN($N136,$O136,$P136,$Q136,$R136,$S136,$T136,$U136,$V136)&lt;0,"Negative value","OK")))))</f>
        <v/>
      </c>
    </row>
    <row r="137">
      <c r="A137" s="34" t="n"/>
      <c r="B137" s="34" t="n"/>
      <c r="C137" s="34" t="n"/>
      <c r="D137" s="34" t="n"/>
      <c r="E137" s="34" t="n"/>
      <c r="F137" s="34" t="n"/>
      <c r="G137" s="69" t="n"/>
      <c r="H137" s="36" t="n"/>
      <c r="I137" s="34" t="n"/>
      <c r="J137" s="34" t="n"/>
      <c r="K137" s="69" t="n"/>
      <c r="L137" s="36" t="n"/>
      <c r="M137" s="34" t="n"/>
      <c r="N137" s="75" t="n"/>
      <c r="O137" s="37" t="n"/>
      <c r="P137" s="37" t="n"/>
      <c r="Q137" s="37" t="n"/>
      <c r="R137" s="76" t="n"/>
      <c r="S137" s="77" t="n"/>
      <c r="T137" s="77" t="n"/>
      <c r="U137" s="77" t="n"/>
      <c r="V137" s="77" t="n"/>
      <c r="W137" s="34" t="n"/>
      <c r="X137" s="78" t="n"/>
      <c r="Y137" s="46" t="n"/>
      <c r="Z137" s="71">
        <f>IF($A137="","",SUM($S137:$U137))</f>
        <v/>
      </c>
      <c r="AA137" s="72">
        <f>IF($A137="","",IFERROR($Z137/$P137,0))</f>
        <v/>
      </c>
      <c r="AB137" s="41">
        <f>IF($A137="","",SUM($O137:$Q137))</f>
        <v/>
      </c>
      <c r="AC137" s="41">
        <f>IF($A137="","",IFERROR(INDEX('Planner'!$N$6:$N$205,MATCH($B137,'Planner'!$A$6:$A$205,0)),0))</f>
        <v/>
      </c>
      <c r="AD137" s="41">
        <f>IF($A137="","",$AC137-$O137-$Q137)</f>
        <v/>
      </c>
      <c r="AE137" s="41">
        <f>IF($A137="","",$AB137-$AC137)</f>
        <v/>
      </c>
      <c r="AF137" s="73">
        <f>IF($A137="","",IFERROR($AB137/'Settings'!$B$5,0))</f>
        <v/>
      </c>
      <c r="AG137" s="71">
        <f>IF($A137="","",$AF137*'Settings'!$B$4)</f>
        <v/>
      </c>
      <c r="AH137" s="71">
        <f>IF($A137="","",$AE137*'Settings'!$B$17)</f>
        <v/>
      </c>
      <c r="AI137" s="71">
        <f>IF($A137="","",$R137*'Settings'!$B$7)</f>
        <v/>
      </c>
      <c r="AJ137" s="71">
        <f>IF($A137="","",$Z137-$V137-$AH137-$AI137)</f>
        <v/>
      </c>
      <c r="AK137" s="72">
        <f>IF($A137="","",IFERROR($AJ137/$AB137,0))</f>
        <v/>
      </c>
      <c r="AL137" s="38">
        <f>IF($A137="","",IF(OR($C137="Passed",$C137="Expired",$C137="Canceled"),$C137,IF($C137="Completed","Completed",IF(AND($O137&lt;='Settings'!$B$8,$AA137&gt;='Settings'!$B$10,$AJ137&gt;='Settings'!$B$9),IF($C137="Booked","Booked - Meets Targets","Meets Targets"),IF($C137="Booked","Booked - Below Target","Review")))))</f>
        <v/>
      </c>
      <c r="AM137" s="38">
        <f>IF($A137="","",IF(COUNTIF($A$6:$A$205,$A137)&gt;1,"Duplicate Load ID",IF(COUNTIF('Planner'!$A$6:$A$205,$B137)=0,"Trip ID not found",IF(($G137+$H137)&gt;($K137+$L137),"Check schedule",IF(MIN($N137,$O137,$P137,$Q137,$R137,$S137,$T137,$U137,$V137)&lt;0,"Negative value","OK")))))</f>
        <v/>
      </c>
    </row>
    <row r="138">
      <c r="A138" s="34" t="n"/>
      <c r="B138" s="34" t="n"/>
      <c r="C138" s="34" t="n"/>
      <c r="D138" s="34" t="n"/>
      <c r="E138" s="34" t="n"/>
      <c r="F138" s="34" t="n"/>
      <c r="G138" s="69" t="n"/>
      <c r="H138" s="36" t="n"/>
      <c r="I138" s="34" t="n"/>
      <c r="J138" s="34" t="n"/>
      <c r="K138" s="69" t="n"/>
      <c r="L138" s="36" t="n"/>
      <c r="M138" s="34" t="n"/>
      <c r="N138" s="75" t="n"/>
      <c r="O138" s="37" t="n"/>
      <c r="P138" s="37" t="n"/>
      <c r="Q138" s="37" t="n"/>
      <c r="R138" s="76" t="n"/>
      <c r="S138" s="77" t="n"/>
      <c r="T138" s="77" t="n"/>
      <c r="U138" s="77" t="n"/>
      <c r="V138" s="77" t="n"/>
      <c r="W138" s="34" t="n"/>
      <c r="X138" s="78" t="n"/>
      <c r="Y138" s="46" t="n"/>
      <c r="Z138" s="71">
        <f>IF($A138="","",SUM($S138:$U138))</f>
        <v/>
      </c>
      <c r="AA138" s="72">
        <f>IF($A138="","",IFERROR($Z138/$P138,0))</f>
        <v/>
      </c>
      <c r="AB138" s="41">
        <f>IF($A138="","",SUM($O138:$Q138))</f>
        <v/>
      </c>
      <c r="AC138" s="41">
        <f>IF($A138="","",IFERROR(INDEX('Planner'!$N$6:$N$205,MATCH($B138,'Planner'!$A$6:$A$205,0)),0))</f>
        <v/>
      </c>
      <c r="AD138" s="41">
        <f>IF($A138="","",$AC138-$O138-$Q138)</f>
        <v/>
      </c>
      <c r="AE138" s="41">
        <f>IF($A138="","",$AB138-$AC138)</f>
        <v/>
      </c>
      <c r="AF138" s="73">
        <f>IF($A138="","",IFERROR($AB138/'Settings'!$B$5,0))</f>
        <v/>
      </c>
      <c r="AG138" s="71">
        <f>IF($A138="","",$AF138*'Settings'!$B$4)</f>
        <v/>
      </c>
      <c r="AH138" s="71">
        <f>IF($A138="","",$AE138*'Settings'!$B$17)</f>
        <v/>
      </c>
      <c r="AI138" s="71">
        <f>IF($A138="","",$R138*'Settings'!$B$7)</f>
        <v/>
      </c>
      <c r="AJ138" s="71">
        <f>IF($A138="","",$Z138-$V138-$AH138-$AI138)</f>
        <v/>
      </c>
      <c r="AK138" s="72">
        <f>IF($A138="","",IFERROR($AJ138/$AB138,0))</f>
        <v/>
      </c>
      <c r="AL138" s="38">
        <f>IF($A138="","",IF(OR($C138="Passed",$C138="Expired",$C138="Canceled"),$C138,IF($C138="Completed","Completed",IF(AND($O138&lt;='Settings'!$B$8,$AA138&gt;='Settings'!$B$10,$AJ138&gt;='Settings'!$B$9),IF($C138="Booked","Booked - Meets Targets","Meets Targets"),IF($C138="Booked","Booked - Below Target","Review")))))</f>
        <v/>
      </c>
      <c r="AM138" s="38">
        <f>IF($A138="","",IF(COUNTIF($A$6:$A$205,$A138)&gt;1,"Duplicate Load ID",IF(COUNTIF('Planner'!$A$6:$A$205,$B138)=0,"Trip ID not found",IF(($G138+$H138)&gt;($K138+$L138),"Check schedule",IF(MIN($N138,$O138,$P138,$Q138,$R138,$S138,$T138,$U138,$V138)&lt;0,"Negative value","OK")))))</f>
        <v/>
      </c>
    </row>
    <row r="139">
      <c r="A139" s="34" t="n"/>
      <c r="B139" s="34" t="n"/>
      <c r="C139" s="34" t="n"/>
      <c r="D139" s="34" t="n"/>
      <c r="E139" s="34" t="n"/>
      <c r="F139" s="34" t="n"/>
      <c r="G139" s="69" t="n"/>
      <c r="H139" s="36" t="n"/>
      <c r="I139" s="34" t="n"/>
      <c r="J139" s="34" t="n"/>
      <c r="K139" s="69" t="n"/>
      <c r="L139" s="36" t="n"/>
      <c r="M139" s="34" t="n"/>
      <c r="N139" s="75" t="n"/>
      <c r="O139" s="37" t="n"/>
      <c r="P139" s="37" t="n"/>
      <c r="Q139" s="37" t="n"/>
      <c r="R139" s="76" t="n"/>
      <c r="S139" s="77" t="n"/>
      <c r="T139" s="77" t="n"/>
      <c r="U139" s="77" t="n"/>
      <c r="V139" s="77" t="n"/>
      <c r="W139" s="34" t="n"/>
      <c r="X139" s="78" t="n"/>
      <c r="Y139" s="46" t="n"/>
      <c r="Z139" s="71">
        <f>IF($A139="","",SUM($S139:$U139))</f>
        <v/>
      </c>
      <c r="AA139" s="72">
        <f>IF($A139="","",IFERROR($Z139/$P139,0))</f>
        <v/>
      </c>
      <c r="AB139" s="41">
        <f>IF($A139="","",SUM($O139:$Q139))</f>
        <v/>
      </c>
      <c r="AC139" s="41">
        <f>IF($A139="","",IFERROR(INDEX('Planner'!$N$6:$N$205,MATCH($B139,'Planner'!$A$6:$A$205,0)),0))</f>
        <v/>
      </c>
      <c r="AD139" s="41">
        <f>IF($A139="","",$AC139-$O139-$Q139)</f>
        <v/>
      </c>
      <c r="AE139" s="41">
        <f>IF($A139="","",$AB139-$AC139)</f>
        <v/>
      </c>
      <c r="AF139" s="73">
        <f>IF($A139="","",IFERROR($AB139/'Settings'!$B$5,0))</f>
        <v/>
      </c>
      <c r="AG139" s="71">
        <f>IF($A139="","",$AF139*'Settings'!$B$4)</f>
        <v/>
      </c>
      <c r="AH139" s="71">
        <f>IF($A139="","",$AE139*'Settings'!$B$17)</f>
        <v/>
      </c>
      <c r="AI139" s="71">
        <f>IF($A139="","",$R139*'Settings'!$B$7)</f>
        <v/>
      </c>
      <c r="AJ139" s="71">
        <f>IF($A139="","",$Z139-$V139-$AH139-$AI139)</f>
        <v/>
      </c>
      <c r="AK139" s="72">
        <f>IF($A139="","",IFERROR($AJ139/$AB139,0))</f>
        <v/>
      </c>
      <c r="AL139" s="38">
        <f>IF($A139="","",IF(OR($C139="Passed",$C139="Expired",$C139="Canceled"),$C139,IF($C139="Completed","Completed",IF(AND($O139&lt;='Settings'!$B$8,$AA139&gt;='Settings'!$B$10,$AJ139&gt;='Settings'!$B$9),IF($C139="Booked","Booked - Meets Targets","Meets Targets"),IF($C139="Booked","Booked - Below Target","Review")))))</f>
        <v/>
      </c>
      <c r="AM139" s="38">
        <f>IF($A139="","",IF(COUNTIF($A$6:$A$205,$A139)&gt;1,"Duplicate Load ID",IF(COUNTIF('Planner'!$A$6:$A$205,$B139)=0,"Trip ID not found",IF(($G139+$H139)&gt;($K139+$L139),"Check schedule",IF(MIN($N139,$O139,$P139,$Q139,$R139,$S139,$T139,$U139,$V139)&lt;0,"Negative value","OK")))))</f>
        <v/>
      </c>
    </row>
    <row r="140">
      <c r="A140" s="34" t="n"/>
      <c r="B140" s="34" t="n"/>
      <c r="C140" s="34" t="n"/>
      <c r="D140" s="34" t="n"/>
      <c r="E140" s="34" t="n"/>
      <c r="F140" s="34" t="n"/>
      <c r="G140" s="69" t="n"/>
      <c r="H140" s="36" t="n"/>
      <c r="I140" s="34" t="n"/>
      <c r="J140" s="34" t="n"/>
      <c r="K140" s="69" t="n"/>
      <c r="L140" s="36" t="n"/>
      <c r="M140" s="34" t="n"/>
      <c r="N140" s="75" t="n"/>
      <c r="O140" s="37" t="n"/>
      <c r="P140" s="37" t="n"/>
      <c r="Q140" s="37" t="n"/>
      <c r="R140" s="76" t="n"/>
      <c r="S140" s="77" t="n"/>
      <c r="T140" s="77" t="n"/>
      <c r="U140" s="77" t="n"/>
      <c r="V140" s="77" t="n"/>
      <c r="W140" s="34" t="n"/>
      <c r="X140" s="78" t="n"/>
      <c r="Y140" s="46" t="n"/>
      <c r="Z140" s="71">
        <f>IF($A140="","",SUM($S140:$U140))</f>
        <v/>
      </c>
      <c r="AA140" s="72">
        <f>IF($A140="","",IFERROR($Z140/$P140,0))</f>
        <v/>
      </c>
      <c r="AB140" s="41">
        <f>IF($A140="","",SUM($O140:$Q140))</f>
        <v/>
      </c>
      <c r="AC140" s="41">
        <f>IF($A140="","",IFERROR(INDEX('Planner'!$N$6:$N$205,MATCH($B140,'Planner'!$A$6:$A$205,0)),0))</f>
        <v/>
      </c>
      <c r="AD140" s="41">
        <f>IF($A140="","",$AC140-$O140-$Q140)</f>
        <v/>
      </c>
      <c r="AE140" s="41">
        <f>IF($A140="","",$AB140-$AC140)</f>
        <v/>
      </c>
      <c r="AF140" s="73">
        <f>IF($A140="","",IFERROR($AB140/'Settings'!$B$5,0))</f>
        <v/>
      </c>
      <c r="AG140" s="71">
        <f>IF($A140="","",$AF140*'Settings'!$B$4)</f>
        <v/>
      </c>
      <c r="AH140" s="71">
        <f>IF($A140="","",$AE140*'Settings'!$B$17)</f>
        <v/>
      </c>
      <c r="AI140" s="71">
        <f>IF($A140="","",$R140*'Settings'!$B$7)</f>
        <v/>
      </c>
      <c r="AJ140" s="71">
        <f>IF($A140="","",$Z140-$V140-$AH140-$AI140)</f>
        <v/>
      </c>
      <c r="AK140" s="72">
        <f>IF($A140="","",IFERROR($AJ140/$AB140,0))</f>
        <v/>
      </c>
      <c r="AL140" s="38">
        <f>IF($A140="","",IF(OR($C140="Passed",$C140="Expired",$C140="Canceled"),$C140,IF($C140="Completed","Completed",IF(AND($O140&lt;='Settings'!$B$8,$AA140&gt;='Settings'!$B$10,$AJ140&gt;='Settings'!$B$9),IF($C140="Booked","Booked - Meets Targets","Meets Targets"),IF($C140="Booked","Booked - Below Target","Review")))))</f>
        <v/>
      </c>
      <c r="AM140" s="38">
        <f>IF($A140="","",IF(COUNTIF($A$6:$A$205,$A140)&gt;1,"Duplicate Load ID",IF(COUNTIF('Planner'!$A$6:$A$205,$B140)=0,"Trip ID not found",IF(($G140+$H140)&gt;($K140+$L140),"Check schedule",IF(MIN($N140,$O140,$P140,$Q140,$R140,$S140,$T140,$U140,$V140)&lt;0,"Negative value","OK")))))</f>
        <v/>
      </c>
    </row>
    <row r="141">
      <c r="A141" s="34" t="n"/>
      <c r="B141" s="34" t="n"/>
      <c r="C141" s="34" t="n"/>
      <c r="D141" s="34" t="n"/>
      <c r="E141" s="34" t="n"/>
      <c r="F141" s="34" t="n"/>
      <c r="G141" s="69" t="n"/>
      <c r="H141" s="36" t="n"/>
      <c r="I141" s="34" t="n"/>
      <c r="J141" s="34" t="n"/>
      <c r="K141" s="69" t="n"/>
      <c r="L141" s="36" t="n"/>
      <c r="M141" s="34" t="n"/>
      <c r="N141" s="75" t="n"/>
      <c r="O141" s="37" t="n"/>
      <c r="P141" s="37" t="n"/>
      <c r="Q141" s="37" t="n"/>
      <c r="R141" s="76" t="n"/>
      <c r="S141" s="77" t="n"/>
      <c r="T141" s="77" t="n"/>
      <c r="U141" s="77" t="n"/>
      <c r="V141" s="77" t="n"/>
      <c r="W141" s="34" t="n"/>
      <c r="X141" s="78" t="n"/>
      <c r="Y141" s="46" t="n"/>
      <c r="Z141" s="71">
        <f>IF($A141="","",SUM($S141:$U141))</f>
        <v/>
      </c>
      <c r="AA141" s="72">
        <f>IF($A141="","",IFERROR($Z141/$P141,0))</f>
        <v/>
      </c>
      <c r="AB141" s="41">
        <f>IF($A141="","",SUM($O141:$Q141))</f>
        <v/>
      </c>
      <c r="AC141" s="41">
        <f>IF($A141="","",IFERROR(INDEX('Planner'!$N$6:$N$205,MATCH($B141,'Planner'!$A$6:$A$205,0)),0))</f>
        <v/>
      </c>
      <c r="AD141" s="41">
        <f>IF($A141="","",$AC141-$O141-$Q141)</f>
        <v/>
      </c>
      <c r="AE141" s="41">
        <f>IF($A141="","",$AB141-$AC141)</f>
        <v/>
      </c>
      <c r="AF141" s="73">
        <f>IF($A141="","",IFERROR($AB141/'Settings'!$B$5,0))</f>
        <v/>
      </c>
      <c r="AG141" s="71">
        <f>IF($A141="","",$AF141*'Settings'!$B$4)</f>
        <v/>
      </c>
      <c r="AH141" s="71">
        <f>IF($A141="","",$AE141*'Settings'!$B$17)</f>
        <v/>
      </c>
      <c r="AI141" s="71">
        <f>IF($A141="","",$R141*'Settings'!$B$7)</f>
        <v/>
      </c>
      <c r="AJ141" s="71">
        <f>IF($A141="","",$Z141-$V141-$AH141-$AI141)</f>
        <v/>
      </c>
      <c r="AK141" s="72">
        <f>IF($A141="","",IFERROR($AJ141/$AB141,0))</f>
        <v/>
      </c>
      <c r="AL141" s="38">
        <f>IF($A141="","",IF(OR($C141="Passed",$C141="Expired",$C141="Canceled"),$C141,IF($C141="Completed","Completed",IF(AND($O141&lt;='Settings'!$B$8,$AA141&gt;='Settings'!$B$10,$AJ141&gt;='Settings'!$B$9),IF($C141="Booked","Booked - Meets Targets","Meets Targets"),IF($C141="Booked","Booked - Below Target","Review")))))</f>
        <v/>
      </c>
      <c r="AM141" s="38">
        <f>IF($A141="","",IF(COUNTIF($A$6:$A$205,$A141)&gt;1,"Duplicate Load ID",IF(COUNTIF('Planner'!$A$6:$A$205,$B141)=0,"Trip ID not found",IF(($G141+$H141)&gt;($K141+$L141),"Check schedule",IF(MIN($N141,$O141,$P141,$Q141,$R141,$S141,$T141,$U141,$V141)&lt;0,"Negative value","OK")))))</f>
        <v/>
      </c>
    </row>
    <row r="142">
      <c r="A142" s="34" t="n"/>
      <c r="B142" s="34" t="n"/>
      <c r="C142" s="34" t="n"/>
      <c r="D142" s="34" t="n"/>
      <c r="E142" s="34" t="n"/>
      <c r="F142" s="34" t="n"/>
      <c r="G142" s="69" t="n"/>
      <c r="H142" s="36" t="n"/>
      <c r="I142" s="34" t="n"/>
      <c r="J142" s="34" t="n"/>
      <c r="K142" s="69" t="n"/>
      <c r="L142" s="36" t="n"/>
      <c r="M142" s="34" t="n"/>
      <c r="N142" s="75" t="n"/>
      <c r="O142" s="37" t="n"/>
      <c r="P142" s="37" t="n"/>
      <c r="Q142" s="37" t="n"/>
      <c r="R142" s="76" t="n"/>
      <c r="S142" s="77" t="n"/>
      <c r="T142" s="77" t="n"/>
      <c r="U142" s="77" t="n"/>
      <c r="V142" s="77" t="n"/>
      <c r="W142" s="34" t="n"/>
      <c r="X142" s="78" t="n"/>
      <c r="Y142" s="46" t="n"/>
      <c r="Z142" s="71">
        <f>IF($A142="","",SUM($S142:$U142))</f>
        <v/>
      </c>
      <c r="AA142" s="72">
        <f>IF($A142="","",IFERROR($Z142/$P142,0))</f>
        <v/>
      </c>
      <c r="AB142" s="41">
        <f>IF($A142="","",SUM($O142:$Q142))</f>
        <v/>
      </c>
      <c r="AC142" s="41">
        <f>IF($A142="","",IFERROR(INDEX('Planner'!$N$6:$N$205,MATCH($B142,'Planner'!$A$6:$A$205,0)),0))</f>
        <v/>
      </c>
      <c r="AD142" s="41">
        <f>IF($A142="","",$AC142-$O142-$Q142)</f>
        <v/>
      </c>
      <c r="AE142" s="41">
        <f>IF($A142="","",$AB142-$AC142)</f>
        <v/>
      </c>
      <c r="AF142" s="73">
        <f>IF($A142="","",IFERROR($AB142/'Settings'!$B$5,0))</f>
        <v/>
      </c>
      <c r="AG142" s="71">
        <f>IF($A142="","",$AF142*'Settings'!$B$4)</f>
        <v/>
      </c>
      <c r="AH142" s="71">
        <f>IF($A142="","",$AE142*'Settings'!$B$17)</f>
        <v/>
      </c>
      <c r="AI142" s="71">
        <f>IF($A142="","",$R142*'Settings'!$B$7)</f>
        <v/>
      </c>
      <c r="AJ142" s="71">
        <f>IF($A142="","",$Z142-$V142-$AH142-$AI142)</f>
        <v/>
      </c>
      <c r="AK142" s="72">
        <f>IF($A142="","",IFERROR($AJ142/$AB142,0))</f>
        <v/>
      </c>
      <c r="AL142" s="38">
        <f>IF($A142="","",IF(OR($C142="Passed",$C142="Expired",$C142="Canceled"),$C142,IF($C142="Completed","Completed",IF(AND($O142&lt;='Settings'!$B$8,$AA142&gt;='Settings'!$B$10,$AJ142&gt;='Settings'!$B$9),IF($C142="Booked","Booked - Meets Targets","Meets Targets"),IF($C142="Booked","Booked - Below Target","Review")))))</f>
        <v/>
      </c>
      <c r="AM142" s="38">
        <f>IF($A142="","",IF(COUNTIF($A$6:$A$205,$A142)&gt;1,"Duplicate Load ID",IF(COUNTIF('Planner'!$A$6:$A$205,$B142)=0,"Trip ID not found",IF(($G142+$H142)&gt;($K142+$L142),"Check schedule",IF(MIN($N142,$O142,$P142,$Q142,$R142,$S142,$T142,$U142,$V142)&lt;0,"Negative value","OK")))))</f>
        <v/>
      </c>
    </row>
    <row r="143">
      <c r="A143" s="34" t="n"/>
      <c r="B143" s="34" t="n"/>
      <c r="C143" s="34" t="n"/>
      <c r="D143" s="34" t="n"/>
      <c r="E143" s="34" t="n"/>
      <c r="F143" s="34" t="n"/>
      <c r="G143" s="69" t="n"/>
      <c r="H143" s="36" t="n"/>
      <c r="I143" s="34" t="n"/>
      <c r="J143" s="34" t="n"/>
      <c r="K143" s="69" t="n"/>
      <c r="L143" s="36" t="n"/>
      <c r="M143" s="34" t="n"/>
      <c r="N143" s="75" t="n"/>
      <c r="O143" s="37" t="n"/>
      <c r="P143" s="37" t="n"/>
      <c r="Q143" s="37" t="n"/>
      <c r="R143" s="76" t="n"/>
      <c r="S143" s="77" t="n"/>
      <c r="T143" s="77" t="n"/>
      <c r="U143" s="77" t="n"/>
      <c r="V143" s="77" t="n"/>
      <c r="W143" s="34" t="n"/>
      <c r="X143" s="78" t="n"/>
      <c r="Y143" s="46" t="n"/>
      <c r="Z143" s="71">
        <f>IF($A143="","",SUM($S143:$U143))</f>
        <v/>
      </c>
      <c r="AA143" s="72">
        <f>IF($A143="","",IFERROR($Z143/$P143,0))</f>
        <v/>
      </c>
      <c r="AB143" s="41">
        <f>IF($A143="","",SUM($O143:$Q143))</f>
        <v/>
      </c>
      <c r="AC143" s="41">
        <f>IF($A143="","",IFERROR(INDEX('Planner'!$N$6:$N$205,MATCH($B143,'Planner'!$A$6:$A$205,0)),0))</f>
        <v/>
      </c>
      <c r="AD143" s="41">
        <f>IF($A143="","",$AC143-$O143-$Q143)</f>
        <v/>
      </c>
      <c r="AE143" s="41">
        <f>IF($A143="","",$AB143-$AC143)</f>
        <v/>
      </c>
      <c r="AF143" s="73">
        <f>IF($A143="","",IFERROR($AB143/'Settings'!$B$5,0))</f>
        <v/>
      </c>
      <c r="AG143" s="71">
        <f>IF($A143="","",$AF143*'Settings'!$B$4)</f>
        <v/>
      </c>
      <c r="AH143" s="71">
        <f>IF($A143="","",$AE143*'Settings'!$B$17)</f>
        <v/>
      </c>
      <c r="AI143" s="71">
        <f>IF($A143="","",$R143*'Settings'!$B$7)</f>
        <v/>
      </c>
      <c r="AJ143" s="71">
        <f>IF($A143="","",$Z143-$V143-$AH143-$AI143)</f>
        <v/>
      </c>
      <c r="AK143" s="72">
        <f>IF($A143="","",IFERROR($AJ143/$AB143,0))</f>
        <v/>
      </c>
      <c r="AL143" s="38">
        <f>IF($A143="","",IF(OR($C143="Passed",$C143="Expired",$C143="Canceled"),$C143,IF($C143="Completed","Completed",IF(AND($O143&lt;='Settings'!$B$8,$AA143&gt;='Settings'!$B$10,$AJ143&gt;='Settings'!$B$9),IF($C143="Booked","Booked - Meets Targets","Meets Targets"),IF($C143="Booked","Booked - Below Target","Review")))))</f>
        <v/>
      </c>
      <c r="AM143" s="38">
        <f>IF($A143="","",IF(COUNTIF($A$6:$A$205,$A143)&gt;1,"Duplicate Load ID",IF(COUNTIF('Planner'!$A$6:$A$205,$B143)=0,"Trip ID not found",IF(($G143+$H143)&gt;($K143+$L143),"Check schedule",IF(MIN($N143,$O143,$P143,$Q143,$R143,$S143,$T143,$U143,$V143)&lt;0,"Negative value","OK")))))</f>
        <v/>
      </c>
    </row>
    <row r="144">
      <c r="A144" s="34" t="n"/>
      <c r="B144" s="34" t="n"/>
      <c r="C144" s="34" t="n"/>
      <c r="D144" s="34" t="n"/>
      <c r="E144" s="34" t="n"/>
      <c r="F144" s="34" t="n"/>
      <c r="G144" s="69" t="n"/>
      <c r="H144" s="36" t="n"/>
      <c r="I144" s="34" t="n"/>
      <c r="J144" s="34" t="n"/>
      <c r="K144" s="69" t="n"/>
      <c r="L144" s="36" t="n"/>
      <c r="M144" s="34" t="n"/>
      <c r="N144" s="75" t="n"/>
      <c r="O144" s="37" t="n"/>
      <c r="P144" s="37" t="n"/>
      <c r="Q144" s="37" t="n"/>
      <c r="R144" s="76" t="n"/>
      <c r="S144" s="77" t="n"/>
      <c r="T144" s="77" t="n"/>
      <c r="U144" s="77" t="n"/>
      <c r="V144" s="77" t="n"/>
      <c r="W144" s="34" t="n"/>
      <c r="X144" s="78" t="n"/>
      <c r="Y144" s="46" t="n"/>
      <c r="Z144" s="71">
        <f>IF($A144="","",SUM($S144:$U144))</f>
        <v/>
      </c>
      <c r="AA144" s="72">
        <f>IF($A144="","",IFERROR($Z144/$P144,0))</f>
        <v/>
      </c>
      <c r="AB144" s="41">
        <f>IF($A144="","",SUM($O144:$Q144))</f>
        <v/>
      </c>
      <c r="AC144" s="41">
        <f>IF($A144="","",IFERROR(INDEX('Planner'!$N$6:$N$205,MATCH($B144,'Planner'!$A$6:$A$205,0)),0))</f>
        <v/>
      </c>
      <c r="AD144" s="41">
        <f>IF($A144="","",$AC144-$O144-$Q144)</f>
        <v/>
      </c>
      <c r="AE144" s="41">
        <f>IF($A144="","",$AB144-$AC144)</f>
        <v/>
      </c>
      <c r="AF144" s="73">
        <f>IF($A144="","",IFERROR($AB144/'Settings'!$B$5,0))</f>
        <v/>
      </c>
      <c r="AG144" s="71">
        <f>IF($A144="","",$AF144*'Settings'!$B$4)</f>
        <v/>
      </c>
      <c r="AH144" s="71">
        <f>IF($A144="","",$AE144*'Settings'!$B$17)</f>
        <v/>
      </c>
      <c r="AI144" s="71">
        <f>IF($A144="","",$R144*'Settings'!$B$7)</f>
        <v/>
      </c>
      <c r="AJ144" s="71">
        <f>IF($A144="","",$Z144-$V144-$AH144-$AI144)</f>
        <v/>
      </c>
      <c r="AK144" s="72">
        <f>IF($A144="","",IFERROR($AJ144/$AB144,0))</f>
        <v/>
      </c>
      <c r="AL144" s="38">
        <f>IF($A144="","",IF(OR($C144="Passed",$C144="Expired",$C144="Canceled"),$C144,IF($C144="Completed","Completed",IF(AND($O144&lt;='Settings'!$B$8,$AA144&gt;='Settings'!$B$10,$AJ144&gt;='Settings'!$B$9),IF($C144="Booked","Booked - Meets Targets","Meets Targets"),IF($C144="Booked","Booked - Below Target","Review")))))</f>
        <v/>
      </c>
      <c r="AM144" s="38">
        <f>IF($A144="","",IF(COUNTIF($A$6:$A$205,$A144)&gt;1,"Duplicate Load ID",IF(COUNTIF('Planner'!$A$6:$A$205,$B144)=0,"Trip ID not found",IF(($G144+$H144)&gt;($K144+$L144),"Check schedule",IF(MIN($N144,$O144,$P144,$Q144,$R144,$S144,$T144,$U144,$V144)&lt;0,"Negative value","OK")))))</f>
        <v/>
      </c>
    </row>
    <row r="145">
      <c r="A145" s="34" t="n"/>
      <c r="B145" s="34" t="n"/>
      <c r="C145" s="34" t="n"/>
      <c r="D145" s="34" t="n"/>
      <c r="E145" s="34" t="n"/>
      <c r="F145" s="34" t="n"/>
      <c r="G145" s="69" t="n"/>
      <c r="H145" s="36" t="n"/>
      <c r="I145" s="34" t="n"/>
      <c r="J145" s="34" t="n"/>
      <c r="K145" s="69" t="n"/>
      <c r="L145" s="36" t="n"/>
      <c r="M145" s="34" t="n"/>
      <c r="N145" s="75" t="n"/>
      <c r="O145" s="37" t="n"/>
      <c r="P145" s="37" t="n"/>
      <c r="Q145" s="37" t="n"/>
      <c r="R145" s="76" t="n"/>
      <c r="S145" s="77" t="n"/>
      <c r="T145" s="77" t="n"/>
      <c r="U145" s="77" t="n"/>
      <c r="V145" s="77" t="n"/>
      <c r="W145" s="34" t="n"/>
      <c r="X145" s="78" t="n"/>
      <c r="Y145" s="46" t="n"/>
      <c r="Z145" s="71">
        <f>IF($A145="","",SUM($S145:$U145))</f>
        <v/>
      </c>
      <c r="AA145" s="72">
        <f>IF($A145="","",IFERROR($Z145/$P145,0))</f>
        <v/>
      </c>
      <c r="AB145" s="41">
        <f>IF($A145="","",SUM($O145:$Q145))</f>
        <v/>
      </c>
      <c r="AC145" s="41">
        <f>IF($A145="","",IFERROR(INDEX('Planner'!$N$6:$N$205,MATCH($B145,'Planner'!$A$6:$A$205,0)),0))</f>
        <v/>
      </c>
      <c r="AD145" s="41">
        <f>IF($A145="","",$AC145-$O145-$Q145)</f>
        <v/>
      </c>
      <c r="AE145" s="41">
        <f>IF($A145="","",$AB145-$AC145)</f>
        <v/>
      </c>
      <c r="AF145" s="73">
        <f>IF($A145="","",IFERROR($AB145/'Settings'!$B$5,0))</f>
        <v/>
      </c>
      <c r="AG145" s="71">
        <f>IF($A145="","",$AF145*'Settings'!$B$4)</f>
        <v/>
      </c>
      <c r="AH145" s="71">
        <f>IF($A145="","",$AE145*'Settings'!$B$17)</f>
        <v/>
      </c>
      <c r="AI145" s="71">
        <f>IF($A145="","",$R145*'Settings'!$B$7)</f>
        <v/>
      </c>
      <c r="AJ145" s="71">
        <f>IF($A145="","",$Z145-$V145-$AH145-$AI145)</f>
        <v/>
      </c>
      <c r="AK145" s="72">
        <f>IF($A145="","",IFERROR($AJ145/$AB145,0))</f>
        <v/>
      </c>
      <c r="AL145" s="38">
        <f>IF($A145="","",IF(OR($C145="Passed",$C145="Expired",$C145="Canceled"),$C145,IF($C145="Completed","Completed",IF(AND($O145&lt;='Settings'!$B$8,$AA145&gt;='Settings'!$B$10,$AJ145&gt;='Settings'!$B$9),IF($C145="Booked","Booked - Meets Targets","Meets Targets"),IF($C145="Booked","Booked - Below Target","Review")))))</f>
        <v/>
      </c>
      <c r="AM145" s="38">
        <f>IF($A145="","",IF(COUNTIF($A$6:$A$205,$A145)&gt;1,"Duplicate Load ID",IF(COUNTIF('Planner'!$A$6:$A$205,$B145)=0,"Trip ID not found",IF(($G145+$H145)&gt;($K145+$L145),"Check schedule",IF(MIN($N145,$O145,$P145,$Q145,$R145,$S145,$T145,$U145,$V145)&lt;0,"Negative value","OK")))))</f>
        <v/>
      </c>
    </row>
    <row r="146">
      <c r="A146" s="34" t="n"/>
      <c r="B146" s="34" t="n"/>
      <c r="C146" s="34" t="n"/>
      <c r="D146" s="34" t="n"/>
      <c r="E146" s="34" t="n"/>
      <c r="F146" s="34" t="n"/>
      <c r="G146" s="69" t="n"/>
      <c r="H146" s="36" t="n"/>
      <c r="I146" s="34" t="n"/>
      <c r="J146" s="34" t="n"/>
      <c r="K146" s="69" t="n"/>
      <c r="L146" s="36" t="n"/>
      <c r="M146" s="34" t="n"/>
      <c r="N146" s="75" t="n"/>
      <c r="O146" s="37" t="n"/>
      <c r="P146" s="37" t="n"/>
      <c r="Q146" s="37" t="n"/>
      <c r="R146" s="76" t="n"/>
      <c r="S146" s="77" t="n"/>
      <c r="T146" s="77" t="n"/>
      <c r="U146" s="77" t="n"/>
      <c r="V146" s="77" t="n"/>
      <c r="W146" s="34" t="n"/>
      <c r="X146" s="78" t="n"/>
      <c r="Y146" s="46" t="n"/>
      <c r="Z146" s="71">
        <f>IF($A146="","",SUM($S146:$U146))</f>
        <v/>
      </c>
      <c r="AA146" s="72">
        <f>IF($A146="","",IFERROR($Z146/$P146,0))</f>
        <v/>
      </c>
      <c r="AB146" s="41">
        <f>IF($A146="","",SUM($O146:$Q146))</f>
        <v/>
      </c>
      <c r="AC146" s="41">
        <f>IF($A146="","",IFERROR(INDEX('Planner'!$N$6:$N$205,MATCH($B146,'Planner'!$A$6:$A$205,0)),0))</f>
        <v/>
      </c>
      <c r="AD146" s="41">
        <f>IF($A146="","",$AC146-$O146-$Q146)</f>
        <v/>
      </c>
      <c r="AE146" s="41">
        <f>IF($A146="","",$AB146-$AC146)</f>
        <v/>
      </c>
      <c r="AF146" s="73">
        <f>IF($A146="","",IFERROR($AB146/'Settings'!$B$5,0))</f>
        <v/>
      </c>
      <c r="AG146" s="71">
        <f>IF($A146="","",$AF146*'Settings'!$B$4)</f>
        <v/>
      </c>
      <c r="AH146" s="71">
        <f>IF($A146="","",$AE146*'Settings'!$B$17)</f>
        <v/>
      </c>
      <c r="AI146" s="71">
        <f>IF($A146="","",$R146*'Settings'!$B$7)</f>
        <v/>
      </c>
      <c r="AJ146" s="71">
        <f>IF($A146="","",$Z146-$V146-$AH146-$AI146)</f>
        <v/>
      </c>
      <c r="AK146" s="72">
        <f>IF($A146="","",IFERROR($AJ146/$AB146,0))</f>
        <v/>
      </c>
      <c r="AL146" s="38">
        <f>IF($A146="","",IF(OR($C146="Passed",$C146="Expired",$C146="Canceled"),$C146,IF($C146="Completed","Completed",IF(AND($O146&lt;='Settings'!$B$8,$AA146&gt;='Settings'!$B$10,$AJ146&gt;='Settings'!$B$9),IF($C146="Booked","Booked - Meets Targets","Meets Targets"),IF($C146="Booked","Booked - Below Target","Review")))))</f>
        <v/>
      </c>
      <c r="AM146" s="38">
        <f>IF($A146="","",IF(COUNTIF($A$6:$A$205,$A146)&gt;1,"Duplicate Load ID",IF(COUNTIF('Planner'!$A$6:$A$205,$B146)=0,"Trip ID not found",IF(($G146+$H146)&gt;($K146+$L146),"Check schedule",IF(MIN($N146,$O146,$P146,$Q146,$R146,$S146,$T146,$U146,$V146)&lt;0,"Negative value","OK")))))</f>
        <v/>
      </c>
    </row>
    <row r="147">
      <c r="A147" s="34" t="n"/>
      <c r="B147" s="34" t="n"/>
      <c r="C147" s="34" t="n"/>
      <c r="D147" s="34" t="n"/>
      <c r="E147" s="34" t="n"/>
      <c r="F147" s="34" t="n"/>
      <c r="G147" s="69" t="n"/>
      <c r="H147" s="36" t="n"/>
      <c r="I147" s="34" t="n"/>
      <c r="J147" s="34" t="n"/>
      <c r="K147" s="69" t="n"/>
      <c r="L147" s="36" t="n"/>
      <c r="M147" s="34" t="n"/>
      <c r="N147" s="75" t="n"/>
      <c r="O147" s="37" t="n"/>
      <c r="P147" s="37" t="n"/>
      <c r="Q147" s="37" t="n"/>
      <c r="R147" s="76" t="n"/>
      <c r="S147" s="77" t="n"/>
      <c r="T147" s="77" t="n"/>
      <c r="U147" s="77" t="n"/>
      <c r="V147" s="77" t="n"/>
      <c r="W147" s="34" t="n"/>
      <c r="X147" s="78" t="n"/>
      <c r="Y147" s="46" t="n"/>
      <c r="Z147" s="71">
        <f>IF($A147="","",SUM($S147:$U147))</f>
        <v/>
      </c>
      <c r="AA147" s="72">
        <f>IF($A147="","",IFERROR($Z147/$P147,0))</f>
        <v/>
      </c>
      <c r="AB147" s="41">
        <f>IF($A147="","",SUM($O147:$Q147))</f>
        <v/>
      </c>
      <c r="AC147" s="41">
        <f>IF($A147="","",IFERROR(INDEX('Planner'!$N$6:$N$205,MATCH($B147,'Planner'!$A$6:$A$205,0)),0))</f>
        <v/>
      </c>
      <c r="AD147" s="41">
        <f>IF($A147="","",$AC147-$O147-$Q147)</f>
        <v/>
      </c>
      <c r="AE147" s="41">
        <f>IF($A147="","",$AB147-$AC147)</f>
        <v/>
      </c>
      <c r="AF147" s="73">
        <f>IF($A147="","",IFERROR($AB147/'Settings'!$B$5,0))</f>
        <v/>
      </c>
      <c r="AG147" s="71">
        <f>IF($A147="","",$AF147*'Settings'!$B$4)</f>
        <v/>
      </c>
      <c r="AH147" s="71">
        <f>IF($A147="","",$AE147*'Settings'!$B$17)</f>
        <v/>
      </c>
      <c r="AI147" s="71">
        <f>IF($A147="","",$R147*'Settings'!$B$7)</f>
        <v/>
      </c>
      <c r="AJ147" s="71">
        <f>IF($A147="","",$Z147-$V147-$AH147-$AI147)</f>
        <v/>
      </c>
      <c r="AK147" s="72">
        <f>IF($A147="","",IFERROR($AJ147/$AB147,0))</f>
        <v/>
      </c>
      <c r="AL147" s="38">
        <f>IF($A147="","",IF(OR($C147="Passed",$C147="Expired",$C147="Canceled"),$C147,IF($C147="Completed","Completed",IF(AND($O147&lt;='Settings'!$B$8,$AA147&gt;='Settings'!$B$10,$AJ147&gt;='Settings'!$B$9),IF($C147="Booked","Booked - Meets Targets","Meets Targets"),IF($C147="Booked","Booked - Below Target","Review")))))</f>
        <v/>
      </c>
      <c r="AM147" s="38">
        <f>IF($A147="","",IF(COUNTIF($A$6:$A$205,$A147)&gt;1,"Duplicate Load ID",IF(COUNTIF('Planner'!$A$6:$A$205,$B147)=0,"Trip ID not found",IF(($G147+$H147)&gt;($K147+$L147),"Check schedule",IF(MIN($N147,$O147,$P147,$Q147,$R147,$S147,$T147,$U147,$V147)&lt;0,"Negative value","OK")))))</f>
        <v/>
      </c>
    </row>
    <row r="148">
      <c r="A148" s="34" t="n"/>
      <c r="B148" s="34" t="n"/>
      <c r="C148" s="34" t="n"/>
      <c r="D148" s="34" t="n"/>
      <c r="E148" s="34" t="n"/>
      <c r="F148" s="34" t="n"/>
      <c r="G148" s="69" t="n"/>
      <c r="H148" s="36" t="n"/>
      <c r="I148" s="34" t="n"/>
      <c r="J148" s="34" t="n"/>
      <c r="K148" s="69" t="n"/>
      <c r="L148" s="36" t="n"/>
      <c r="M148" s="34" t="n"/>
      <c r="N148" s="75" t="n"/>
      <c r="O148" s="37" t="n"/>
      <c r="P148" s="37" t="n"/>
      <c r="Q148" s="37" t="n"/>
      <c r="R148" s="76" t="n"/>
      <c r="S148" s="77" t="n"/>
      <c r="T148" s="77" t="n"/>
      <c r="U148" s="77" t="n"/>
      <c r="V148" s="77" t="n"/>
      <c r="W148" s="34" t="n"/>
      <c r="X148" s="78" t="n"/>
      <c r="Y148" s="46" t="n"/>
      <c r="Z148" s="71">
        <f>IF($A148="","",SUM($S148:$U148))</f>
        <v/>
      </c>
      <c r="AA148" s="72">
        <f>IF($A148="","",IFERROR($Z148/$P148,0))</f>
        <v/>
      </c>
      <c r="AB148" s="41">
        <f>IF($A148="","",SUM($O148:$Q148))</f>
        <v/>
      </c>
      <c r="AC148" s="41">
        <f>IF($A148="","",IFERROR(INDEX('Planner'!$N$6:$N$205,MATCH($B148,'Planner'!$A$6:$A$205,0)),0))</f>
        <v/>
      </c>
      <c r="AD148" s="41">
        <f>IF($A148="","",$AC148-$O148-$Q148)</f>
        <v/>
      </c>
      <c r="AE148" s="41">
        <f>IF($A148="","",$AB148-$AC148)</f>
        <v/>
      </c>
      <c r="AF148" s="73">
        <f>IF($A148="","",IFERROR($AB148/'Settings'!$B$5,0))</f>
        <v/>
      </c>
      <c r="AG148" s="71">
        <f>IF($A148="","",$AF148*'Settings'!$B$4)</f>
        <v/>
      </c>
      <c r="AH148" s="71">
        <f>IF($A148="","",$AE148*'Settings'!$B$17)</f>
        <v/>
      </c>
      <c r="AI148" s="71">
        <f>IF($A148="","",$R148*'Settings'!$B$7)</f>
        <v/>
      </c>
      <c r="AJ148" s="71">
        <f>IF($A148="","",$Z148-$V148-$AH148-$AI148)</f>
        <v/>
      </c>
      <c r="AK148" s="72">
        <f>IF($A148="","",IFERROR($AJ148/$AB148,0))</f>
        <v/>
      </c>
      <c r="AL148" s="38">
        <f>IF($A148="","",IF(OR($C148="Passed",$C148="Expired",$C148="Canceled"),$C148,IF($C148="Completed","Completed",IF(AND($O148&lt;='Settings'!$B$8,$AA148&gt;='Settings'!$B$10,$AJ148&gt;='Settings'!$B$9),IF($C148="Booked","Booked - Meets Targets","Meets Targets"),IF($C148="Booked","Booked - Below Target","Review")))))</f>
        <v/>
      </c>
      <c r="AM148" s="38">
        <f>IF($A148="","",IF(COUNTIF($A$6:$A$205,$A148)&gt;1,"Duplicate Load ID",IF(COUNTIF('Planner'!$A$6:$A$205,$B148)=0,"Trip ID not found",IF(($G148+$H148)&gt;($K148+$L148),"Check schedule",IF(MIN($N148,$O148,$P148,$Q148,$R148,$S148,$T148,$U148,$V148)&lt;0,"Negative value","OK")))))</f>
        <v/>
      </c>
    </row>
    <row r="149">
      <c r="A149" s="34" t="n"/>
      <c r="B149" s="34" t="n"/>
      <c r="C149" s="34" t="n"/>
      <c r="D149" s="34" t="n"/>
      <c r="E149" s="34" t="n"/>
      <c r="F149" s="34" t="n"/>
      <c r="G149" s="69" t="n"/>
      <c r="H149" s="36" t="n"/>
      <c r="I149" s="34" t="n"/>
      <c r="J149" s="34" t="n"/>
      <c r="K149" s="69" t="n"/>
      <c r="L149" s="36" t="n"/>
      <c r="M149" s="34" t="n"/>
      <c r="N149" s="75" t="n"/>
      <c r="O149" s="37" t="n"/>
      <c r="P149" s="37" t="n"/>
      <c r="Q149" s="37" t="n"/>
      <c r="R149" s="76" t="n"/>
      <c r="S149" s="77" t="n"/>
      <c r="T149" s="77" t="n"/>
      <c r="U149" s="77" t="n"/>
      <c r="V149" s="77" t="n"/>
      <c r="W149" s="34" t="n"/>
      <c r="X149" s="78" t="n"/>
      <c r="Y149" s="46" t="n"/>
      <c r="Z149" s="71">
        <f>IF($A149="","",SUM($S149:$U149))</f>
        <v/>
      </c>
      <c r="AA149" s="72">
        <f>IF($A149="","",IFERROR($Z149/$P149,0))</f>
        <v/>
      </c>
      <c r="AB149" s="41">
        <f>IF($A149="","",SUM($O149:$Q149))</f>
        <v/>
      </c>
      <c r="AC149" s="41">
        <f>IF($A149="","",IFERROR(INDEX('Planner'!$N$6:$N$205,MATCH($B149,'Planner'!$A$6:$A$205,0)),0))</f>
        <v/>
      </c>
      <c r="AD149" s="41">
        <f>IF($A149="","",$AC149-$O149-$Q149)</f>
        <v/>
      </c>
      <c r="AE149" s="41">
        <f>IF($A149="","",$AB149-$AC149)</f>
        <v/>
      </c>
      <c r="AF149" s="73">
        <f>IF($A149="","",IFERROR($AB149/'Settings'!$B$5,0))</f>
        <v/>
      </c>
      <c r="AG149" s="71">
        <f>IF($A149="","",$AF149*'Settings'!$B$4)</f>
        <v/>
      </c>
      <c r="AH149" s="71">
        <f>IF($A149="","",$AE149*'Settings'!$B$17)</f>
        <v/>
      </c>
      <c r="AI149" s="71">
        <f>IF($A149="","",$R149*'Settings'!$B$7)</f>
        <v/>
      </c>
      <c r="AJ149" s="71">
        <f>IF($A149="","",$Z149-$V149-$AH149-$AI149)</f>
        <v/>
      </c>
      <c r="AK149" s="72">
        <f>IF($A149="","",IFERROR($AJ149/$AB149,0))</f>
        <v/>
      </c>
      <c r="AL149" s="38">
        <f>IF($A149="","",IF(OR($C149="Passed",$C149="Expired",$C149="Canceled"),$C149,IF($C149="Completed","Completed",IF(AND($O149&lt;='Settings'!$B$8,$AA149&gt;='Settings'!$B$10,$AJ149&gt;='Settings'!$B$9),IF($C149="Booked","Booked - Meets Targets","Meets Targets"),IF($C149="Booked","Booked - Below Target","Review")))))</f>
        <v/>
      </c>
      <c r="AM149" s="38">
        <f>IF($A149="","",IF(COUNTIF($A$6:$A$205,$A149)&gt;1,"Duplicate Load ID",IF(COUNTIF('Planner'!$A$6:$A$205,$B149)=0,"Trip ID not found",IF(($G149+$H149)&gt;($K149+$L149),"Check schedule",IF(MIN($N149,$O149,$P149,$Q149,$R149,$S149,$T149,$U149,$V149)&lt;0,"Negative value","OK")))))</f>
        <v/>
      </c>
    </row>
    <row r="150">
      <c r="A150" s="34" t="n"/>
      <c r="B150" s="34" t="n"/>
      <c r="C150" s="34" t="n"/>
      <c r="D150" s="34" t="n"/>
      <c r="E150" s="34" t="n"/>
      <c r="F150" s="34" t="n"/>
      <c r="G150" s="69" t="n"/>
      <c r="H150" s="36" t="n"/>
      <c r="I150" s="34" t="n"/>
      <c r="J150" s="34" t="n"/>
      <c r="K150" s="69" t="n"/>
      <c r="L150" s="36" t="n"/>
      <c r="M150" s="34" t="n"/>
      <c r="N150" s="75" t="n"/>
      <c r="O150" s="37" t="n"/>
      <c r="P150" s="37" t="n"/>
      <c r="Q150" s="37" t="n"/>
      <c r="R150" s="76" t="n"/>
      <c r="S150" s="77" t="n"/>
      <c r="T150" s="77" t="n"/>
      <c r="U150" s="77" t="n"/>
      <c r="V150" s="77" t="n"/>
      <c r="W150" s="34" t="n"/>
      <c r="X150" s="78" t="n"/>
      <c r="Y150" s="46" t="n"/>
      <c r="Z150" s="71">
        <f>IF($A150="","",SUM($S150:$U150))</f>
        <v/>
      </c>
      <c r="AA150" s="72">
        <f>IF($A150="","",IFERROR($Z150/$P150,0))</f>
        <v/>
      </c>
      <c r="AB150" s="41">
        <f>IF($A150="","",SUM($O150:$Q150))</f>
        <v/>
      </c>
      <c r="AC150" s="41">
        <f>IF($A150="","",IFERROR(INDEX('Planner'!$N$6:$N$205,MATCH($B150,'Planner'!$A$6:$A$205,0)),0))</f>
        <v/>
      </c>
      <c r="AD150" s="41">
        <f>IF($A150="","",$AC150-$O150-$Q150)</f>
        <v/>
      </c>
      <c r="AE150" s="41">
        <f>IF($A150="","",$AB150-$AC150)</f>
        <v/>
      </c>
      <c r="AF150" s="73">
        <f>IF($A150="","",IFERROR($AB150/'Settings'!$B$5,0))</f>
        <v/>
      </c>
      <c r="AG150" s="71">
        <f>IF($A150="","",$AF150*'Settings'!$B$4)</f>
        <v/>
      </c>
      <c r="AH150" s="71">
        <f>IF($A150="","",$AE150*'Settings'!$B$17)</f>
        <v/>
      </c>
      <c r="AI150" s="71">
        <f>IF($A150="","",$R150*'Settings'!$B$7)</f>
        <v/>
      </c>
      <c r="AJ150" s="71">
        <f>IF($A150="","",$Z150-$V150-$AH150-$AI150)</f>
        <v/>
      </c>
      <c r="AK150" s="72">
        <f>IF($A150="","",IFERROR($AJ150/$AB150,0))</f>
        <v/>
      </c>
      <c r="AL150" s="38">
        <f>IF($A150="","",IF(OR($C150="Passed",$C150="Expired",$C150="Canceled"),$C150,IF($C150="Completed","Completed",IF(AND($O150&lt;='Settings'!$B$8,$AA150&gt;='Settings'!$B$10,$AJ150&gt;='Settings'!$B$9),IF($C150="Booked","Booked - Meets Targets","Meets Targets"),IF($C150="Booked","Booked - Below Target","Review")))))</f>
        <v/>
      </c>
      <c r="AM150" s="38">
        <f>IF($A150="","",IF(COUNTIF($A$6:$A$205,$A150)&gt;1,"Duplicate Load ID",IF(COUNTIF('Planner'!$A$6:$A$205,$B150)=0,"Trip ID not found",IF(($G150+$H150)&gt;($K150+$L150),"Check schedule",IF(MIN($N150,$O150,$P150,$Q150,$R150,$S150,$T150,$U150,$V150)&lt;0,"Negative value","OK")))))</f>
        <v/>
      </c>
    </row>
    <row r="151">
      <c r="A151" s="34" t="n"/>
      <c r="B151" s="34" t="n"/>
      <c r="C151" s="34" t="n"/>
      <c r="D151" s="34" t="n"/>
      <c r="E151" s="34" t="n"/>
      <c r="F151" s="34" t="n"/>
      <c r="G151" s="69" t="n"/>
      <c r="H151" s="36" t="n"/>
      <c r="I151" s="34" t="n"/>
      <c r="J151" s="34" t="n"/>
      <c r="K151" s="69" t="n"/>
      <c r="L151" s="36" t="n"/>
      <c r="M151" s="34" t="n"/>
      <c r="N151" s="75" t="n"/>
      <c r="O151" s="37" t="n"/>
      <c r="P151" s="37" t="n"/>
      <c r="Q151" s="37" t="n"/>
      <c r="R151" s="76" t="n"/>
      <c r="S151" s="77" t="n"/>
      <c r="T151" s="77" t="n"/>
      <c r="U151" s="77" t="n"/>
      <c r="V151" s="77" t="n"/>
      <c r="W151" s="34" t="n"/>
      <c r="X151" s="78" t="n"/>
      <c r="Y151" s="46" t="n"/>
      <c r="Z151" s="71">
        <f>IF($A151="","",SUM($S151:$U151))</f>
        <v/>
      </c>
      <c r="AA151" s="72">
        <f>IF($A151="","",IFERROR($Z151/$P151,0))</f>
        <v/>
      </c>
      <c r="AB151" s="41">
        <f>IF($A151="","",SUM($O151:$Q151))</f>
        <v/>
      </c>
      <c r="AC151" s="41">
        <f>IF($A151="","",IFERROR(INDEX('Planner'!$N$6:$N$205,MATCH($B151,'Planner'!$A$6:$A$205,0)),0))</f>
        <v/>
      </c>
      <c r="AD151" s="41">
        <f>IF($A151="","",$AC151-$O151-$Q151)</f>
        <v/>
      </c>
      <c r="AE151" s="41">
        <f>IF($A151="","",$AB151-$AC151)</f>
        <v/>
      </c>
      <c r="AF151" s="73">
        <f>IF($A151="","",IFERROR($AB151/'Settings'!$B$5,0))</f>
        <v/>
      </c>
      <c r="AG151" s="71">
        <f>IF($A151="","",$AF151*'Settings'!$B$4)</f>
        <v/>
      </c>
      <c r="AH151" s="71">
        <f>IF($A151="","",$AE151*'Settings'!$B$17)</f>
        <v/>
      </c>
      <c r="AI151" s="71">
        <f>IF($A151="","",$R151*'Settings'!$B$7)</f>
        <v/>
      </c>
      <c r="AJ151" s="71">
        <f>IF($A151="","",$Z151-$V151-$AH151-$AI151)</f>
        <v/>
      </c>
      <c r="AK151" s="72">
        <f>IF($A151="","",IFERROR($AJ151/$AB151,0))</f>
        <v/>
      </c>
      <c r="AL151" s="38">
        <f>IF($A151="","",IF(OR($C151="Passed",$C151="Expired",$C151="Canceled"),$C151,IF($C151="Completed","Completed",IF(AND($O151&lt;='Settings'!$B$8,$AA151&gt;='Settings'!$B$10,$AJ151&gt;='Settings'!$B$9),IF($C151="Booked","Booked - Meets Targets","Meets Targets"),IF($C151="Booked","Booked - Below Target","Review")))))</f>
        <v/>
      </c>
      <c r="AM151" s="38">
        <f>IF($A151="","",IF(COUNTIF($A$6:$A$205,$A151)&gt;1,"Duplicate Load ID",IF(COUNTIF('Planner'!$A$6:$A$205,$B151)=0,"Trip ID not found",IF(($G151+$H151)&gt;($K151+$L151),"Check schedule",IF(MIN($N151,$O151,$P151,$Q151,$R151,$S151,$T151,$U151,$V151)&lt;0,"Negative value","OK")))))</f>
        <v/>
      </c>
    </row>
    <row r="152">
      <c r="A152" s="34" t="n"/>
      <c r="B152" s="34" t="n"/>
      <c r="C152" s="34" t="n"/>
      <c r="D152" s="34" t="n"/>
      <c r="E152" s="34" t="n"/>
      <c r="F152" s="34" t="n"/>
      <c r="G152" s="69" t="n"/>
      <c r="H152" s="36" t="n"/>
      <c r="I152" s="34" t="n"/>
      <c r="J152" s="34" t="n"/>
      <c r="K152" s="69" t="n"/>
      <c r="L152" s="36" t="n"/>
      <c r="M152" s="34" t="n"/>
      <c r="N152" s="75" t="n"/>
      <c r="O152" s="37" t="n"/>
      <c r="P152" s="37" t="n"/>
      <c r="Q152" s="37" t="n"/>
      <c r="R152" s="76" t="n"/>
      <c r="S152" s="77" t="n"/>
      <c r="T152" s="77" t="n"/>
      <c r="U152" s="77" t="n"/>
      <c r="V152" s="77" t="n"/>
      <c r="W152" s="34" t="n"/>
      <c r="X152" s="78" t="n"/>
      <c r="Y152" s="46" t="n"/>
      <c r="Z152" s="71">
        <f>IF($A152="","",SUM($S152:$U152))</f>
        <v/>
      </c>
      <c r="AA152" s="72">
        <f>IF($A152="","",IFERROR($Z152/$P152,0))</f>
        <v/>
      </c>
      <c r="AB152" s="41">
        <f>IF($A152="","",SUM($O152:$Q152))</f>
        <v/>
      </c>
      <c r="AC152" s="41">
        <f>IF($A152="","",IFERROR(INDEX('Planner'!$N$6:$N$205,MATCH($B152,'Planner'!$A$6:$A$205,0)),0))</f>
        <v/>
      </c>
      <c r="AD152" s="41">
        <f>IF($A152="","",$AC152-$O152-$Q152)</f>
        <v/>
      </c>
      <c r="AE152" s="41">
        <f>IF($A152="","",$AB152-$AC152)</f>
        <v/>
      </c>
      <c r="AF152" s="73">
        <f>IF($A152="","",IFERROR($AB152/'Settings'!$B$5,0))</f>
        <v/>
      </c>
      <c r="AG152" s="71">
        <f>IF($A152="","",$AF152*'Settings'!$B$4)</f>
        <v/>
      </c>
      <c r="AH152" s="71">
        <f>IF($A152="","",$AE152*'Settings'!$B$17)</f>
        <v/>
      </c>
      <c r="AI152" s="71">
        <f>IF($A152="","",$R152*'Settings'!$B$7)</f>
        <v/>
      </c>
      <c r="AJ152" s="71">
        <f>IF($A152="","",$Z152-$V152-$AH152-$AI152)</f>
        <v/>
      </c>
      <c r="AK152" s="72">
        <f>IF($A152="","",IFERROR($AJ152/$AB152,0))</f>
        <v/>
      </c>
      <c r="AL152" s="38">
        <f>IF($A152="","",IF(OR($C152="Passed",$C152="Expired",$C152="Canceled"),$C152,IF($C152="Completed","Completed",IF(AND($O152&lt;='Settings'!$B$8,$AA152&gt;='Settings'!$B$10,$AJ152&gt;='Settings'!$B$9),IF($C152="Booked","Booked - Meets Targets","Meets Targets"),IF($C152="Booked","Booked - Below Target","Review")))))</f>
        <v/>
      </c>
      <c r="AM152" s="38">
        <f>IF($A152="","",IF(COUNTIF($A$6:$A$205,$A152)&gt;1,"Duplicate Load ID",IF(COUNTIF('Planner'!$A$6:$A$205,$B152)=0,"Trip ID not found",IF(($G152+$H152)&gt;($K152+$L152),"Check schedule",IF(MIN($N152,$O152,$P152,$Q152,$R152,$S152,$T152,$U152,$V152)&lt;0,"Negative value","OK")))))</f>
        <v/>
      </c>
    </row>
    <row r="153">
      <c r="A153" s="34" t="n"/>
      <c r="B153" s="34" t="n"/>
      <c r="C153" s="34" t="n"/>
      <c r="D153" s="34" t="n"/>
      <c r="E153" s="34" t="n"/>
      <c r="F153" s="34" t="n"/>
      <c r="G153" s="69" t="n"/>
      <c r="H153" s="36" t="n"/>
      <c r="I153" s="34" t="n"/>
      <c r="J153" s="34" t="n"/>
      <c r="K153" s="69" t="n"/>
      <c r="L153" s="36" t="n"/>
      <c r="M153" s="34" t="n"/>
      <c r="N153" s="75" t="n"/>
      <c r="O153" s="37" t="n"/>
      <c r="P153" s="37" t="n"/>
      <c r="Q153" s="37" t="n"/>
      <c r="R153" s="76" t="n"/>
      <c r="S153" s="77" t="n"/>
      <c r="T153" s="77" t="n"/>
      <c r="U153" s="77" t="n"/>
      <c r="V153" s="77" t="n"/>
      <c r="W153" s="34" t="n"/>
      <c r="X153" s="78" t="n"/>
      <c r="Y153" s="46" t="n"/>
      <c r="Z153" s="71">
        <f>IF($A153="","",SUM($S153:$U153))</f>
        <v/>
      </c>
      <c r="AA153" s="72">
        <f>IF($A153="","",IFERROR($Z153/$P153,0))</f>
        <v/>
      </c>
      <c r="AB153" s="41">
        <f>IF($A153="","",SUM($O153:$Q153))</f>
        <v/>
      </c>
      <c r="AC153" s="41">
        <f>IF($A153="","",IFERROR(INDEX('Planner'!$N$6:$N$205,MATCH($B153,'Planner'!$A$6:$A$205,0)),0))</f>
        <v/>
      </c>
      <c r="AD153" s="41">
        <f>IF($A153="","",$AC153-$O153-$Q153)</f>
        <v/>
      </c>
      <c r="AE153" s="41">
        <f>IF($A153="","",$AB153-$AC153)</f>
        <v/>
      </c>
      <c r="AF153" s="73">
        <f>IF($A153="","",IFERROR($AB153/'Settings'!$B$5,0))</f>
        <v/>
      </c>
      <c r="AG153" s="71">
        <f>IF($A153="","",$AF153*'Settings'!$B$4)</f>
        <v/>
      </c>
      <c r="AH153" s="71">
        <f>IF($A153="","",$AE153*'Settings'!$B$17)</f>
        <v/>
      </c>
      <c r="AI153" s="71">
        <f>IF($A153="","",$R153*'Settings'!$B$7)</f>
        <v/>
      </c>
      <c r="AJ153" s="71">
        <f>IF($A153="","",$Z153-$V153-$AH153-$AI153)</f>
        <v/>
      </c>
      <c r="AK153" s="72">
        <f>IF($A153="","",IFERROR($AJ153/$AB153,0))</f>
        <v/>
      </c>
      <c r="AL153" s="38">
        <f>IF($A153="","",IF(OR($C153="Passed",$C153="Expired",$C153="Canceled"),$C153,IF($C153="Completed","Completed",IF(AND($O153&lt;='Settings'!$B$8,$AA153&gt;='Settings'!$B$10,$AJ153&gt;='Settings'!$B$9),IF($C153="Booked","Booked - Meets Targets","Meets Targets"),IF($C153="Booked","Booked - Below Target","Review")))))</f>
        <v/>
      </c>
      <c r="AM153" s="38">
        <f>IF($A153="","",IF(COUNTIF($A$6:$A$205,$A153)&gt;1,"Duplicate Load ID",IF(COUNTIF('Planner'!$A$6:$A$205,$B153)=0,"Trip ID not found",IF(($G153+$H153)&gt;($K153+$L153),"Check schedule",IF(MIN($N153,$O153,$P153,$Q153,$R153,$S153,$T153,$U153,$V153)&lt;0,"Negative value","OK")))))</f>
        <v/>
      </c>
    </row>
    <row r="154">
      <c r="A154" s="34" t="n"/>
      <c r="B154" s="34" t="n"/>
      <c r="C154" s="34" t="n"/>
      <c r="D154" s="34" t="n"/>
      <c r="E154" s="34" t="n"/>
      <c r="F154" s="34" t="n"/>
      <c r="G154" s="69" t="n"/>
      <c r="H154" s="36" t="n"/>
      <c r="I154" s="34" t="n"/>
      <c r="J154" s="34" t="n"/>
      <c r="K154" s="69" t="n"/>
      <c r="L154" s="36" t="n"/>
      <c r="M154" s="34" t="n"/>
      <c r="N154" s="75" t="n"/>
      <c r="O154" s="37" t="n"/>
      <c r="P154" s="37" t="n"/>
      <c r="Q154" s="37" t="n"/>
      <c r="R154" s="76" t="n"/>
      <c r="S154" s="77" t="n"/>
      <c r="T154" s="77" t="n"/>
      <c r="U154" s="77" t="n"/>
      <c r="V154" s="77" t="n"/>
      <c r="W154" s="34" t="n"/>
      <c r="X154" s="78" t="n"/>
      <c r="Y154" s="46" t="n"/>
      <c r="Z154" s="71">
        <f>IF($A154="","",SUM($S154:$U154))</f>
        <v/>
      </c>
      <c r="AA154" s="72">
        <f>IF($A154="","",IFERROR($Z154/$P154,0))</f>
        <v/>
      </c>
      <c r="AB154" s="41">
        <f>IF($A154="","",SUM($O154:$Q154))</f>
        <v/>
      </c>
      <c r="AC154" s="41">
        <f>IF($A154="","",IFERROR(INDEX('Planner'!$N$6:$N$205,MATCH($B154,'Planner'!$A$6:$A$205,0)),0))</f>
        <v/>
      </c>
      <c r="AD154" s="41">
        <f>IF($A154="","",$AC154-$O154-$Q154)</f>
        <v/>
      </c>
      <c r="AE154" s="41">
        <f>IF($A154="","",$AB154-$AC154)</f>
        <v/>
      </c>
      <c r="AF154" s="73">
        <f>IF($A154="","",IFERROR($AB154/'Settings'!$B$5,0))</f>
        <v/>
      </c>
      <c r="AG154" s="71">
        <f>IF($A154="","",$AF154*'Settings'!$B$4)</f>
        <v/>
      </c>
      <c r="AH154" s="71">
        <f>IF($A154="","",$AE154*'Settings'!$B$17)</f>
        <v/>
      </c>
      <c r="AI154" s="71">
        <f>IF($A154="","",$R154*'Settings'!$B$7)</f>
        <v/>
      </c>
      <c r="AJ154" s="71">
        <f>IF($A154="","",$Z154-$V154-$AH154-$AI154)</f>
        <v/>
      </c>
      <c r="AK154" s="72">
        <f>IF($A154="","",IFERROR($AJ154/$AB154,0))</f>
        <v/>
      </c>
      <c r="AL154" s="38">
        <f>IF($A154="","",IF(OR($C154="Passed",$C154="Expired",$C154="Canceled"),$C154,IF($C154="Completed","Completed",IF(AND($O154&lt;='Settings'!$B$8,$AA154&gt;='Settings'!$B$10,$AJ154&gt;='Settings'!$B$9),IF($C154="Booked","Booked - Meets Targets","Meets Targets"),IF($C154="Booked","Booked - Below Target","Review")))))</f>
        <v/>
      </c>
      <c r="AM154" s="38">
        <f>IF($A154="","",IF(COUNTIF($A$6:$A$205,$A154)&gt;1,"Duplicate Load ID",IF(COUNTIF('Planner'!$A$6:$A$205,$B154)=0,"Trip ID not found",IF(($G154+$H154)&gt;($K154+$L154),"Check schedule",IF(MIN($N154,$O154,$P154,$Q154,$R154,$S154,$T154,$U154,$V154)&lt;0,"Negative value","OK")))))</f>
        <v/>
      </c>
    </row>
    <row r="155">
      <c r="A155" s="34" t="n"/>
      <c r="B155" s="34" t="n"/>
      <c r="C155" s="34" t="n"/>
      <c r="D155" s="34" t="n"/>
      <c r="E155" s="34" t="n"/>
      <c r="F155" s="34" t="n"/>
      <c r="G155" s="69" t="n"/>
      <c r="H155" s="36" t="n"/>
      <c r="I155" s="34" t="n"/>
      <c r="J155" s="34" t="n"/>
      <c r="K155" s="69" t="n"/>
      <c r="L155" s="36" t="n"/>
      <c r="M155" s="34" t="n"/>
      <c r="N155" s="75" t="n"/>
      <c r="O155" s="37" t="n"/>
      <c r="P155" s="37" t="n"/>
      <c r="Q155" s="37" t="n"/>
      <c r="R155" s="76" t="n"/>
      <c r="S155" s="77" t="n"/>
      <c r="T155" s="77" t="n"/>
      <c r="U155" s="77" t="n"/>
      <c r="V155" s="77" t="n"/>
      <c r="W155" s="34" t="n"/>
      <c r="X155" s="78" t="n"/>
      <c r="Y155" s="46" t="n"/>
      <c r="Z155" s="71">
        <f>IF($A155="","",SUM($S155:$U155))</f>
        <v/>
      </c>
      <c r="AA155" s="72">
        <f>IF($A155="","",IFERROR($Z155/$P155,0))</f>
        <v/>
      </c>
      <c r="AB155" s="41">
        <f>IF($A155="","",SUM($O155:$Q155))</f>
        <v/>
      </c>
      <c r="AC155" s="41">
        <f>IF($A155="","",IFERROR(INDEX('Planner'!$N$6:$N$205,MATCH($B155,'Planner'!$A$6:$A$205,0)),0))</f>
        <v/>
      </c>
      <c r="AD155" s="41">
        <f>IF($A155="","",$AC155-$O155-$Q155)</f>
        <v/>
      </c>
      <c r="AE155" s="41">
        <f>IF($A155="","",$AB155-$AC155)</f>
        <v/>
      </c>
      <c r="AF155" s="73">
        <f>IF($A155="","",IFERROR($AB155/'Settings'!$B$5,0))</f>
        <v/>
      </c>
      <c r="AG155" s="71">
        <f>IF($A155="","",$AF155*'Settings'!$B$4)</f>
        <v/>
      </c>
      <c r="AH155" s="71">
        <f>IF($A155="","",$AE155*'Settings'!$B$17)</f>
        <v/>
      </c>
      <c r="AI155" s="71">
        <f>IF($A155="","",$R155*'Settings'!$B$7)</f>
        <v/>
      </c>
      <c r="AJ155" s="71">
        <f>IF($A155="","",$Z155-$V155-$AH155-$AI155)</f>
        <v/>
      </c>
      <c r="AK155" s="72">
        <f>IF($A155="","",IFERROR($AJ155/$AB155,0))</f>
        <v/>
      </c>
      <c r="AL155" s="38">
        <f>IF($A155="","",IF(OR($C155="Passed",$C155="Expired",$C155="Canceled"),$C155,IF($C155="Completed","Completed",IF(AND($O155&lt;='Settings'!$B$8,$AA155&gt;='Settings'!$B$10,$AJ155&gt;='Settings'!$B$9),IF($C155="Booked","Booked - Meets Targets","Meets Targets"),IF($C155="Booked","Booked - Below Target","Review")))))</f>
        <v/>
      </c>
      <c r="AM155" s="38">
        <f>IF($A155="","",IF(COUNTIF($A$6:$A$205,$A155)&gt;1,"Duplicate Load ID",IF(COUNTIF('Planner'!$A$6:$A$205,$B155)=0,"Trip ID not found",IF(($G155+$H155)&gt;($K155+$L155),"Check schedule",IF(MIN($N155,$O155,$P155,$Q155,$R155,$S155,$T155,$U155,$V155)&lt;0,"Negative value","OK")))))</f>
        <v/>
      </c>
    </row>
    <row r="156">
      <c r="A156" s="34" t="n"/>
      <c r="B156" s="34" t="n"/>
      <c r="C156" s="34" t="n"/>
      <c r="D156" s="34" t="n"/>
      <c r="E156" s="34" t="n"/>
      <c r="F156" s="34" t="n"/>
      <c r="G156" s="69" t="n"/>
      <c r="H156" s="36" t="n"/>
      <c r="I156" s="34" t="n"/>
      <c r="J156" s="34" t="n"/>
      <c r="K156" s="69" t="n"/>
      <c r="L156" s="36" t="n"/>
      <c r="M156" s="34" t="n"/>
      <c r="N156" s="75" t="n"/>
      <c r="O156" s="37" t="n"/>
      <c r="P156" s="37" t="n"/>
      <c r="Q156" s="37" t="n"/>
      <c r="R156" s="76" t="n"/>
      <c r="S156" s="77" t="n"/>
      <c r="T156" s="77" t="n"/>
      <c r="U156" s="77" t="n"/>
      <c r="V156" s="77" t="n"/>
      <c r="W156" s="34" t="n"/>
      <c r="X156" s="78" t="n"/>
      <c r="Y156" s="46" t="n"/>
      <c r="Z156" s="71">
        <f>IF($A156="","",SUM($S156:$U156))</f>
        <v/>
      </c>
      <c r="AA156" s="72">
        <f>IF($A156="","",IFERROR($Z156/$P156,0))</f>
        <v/>
      </c>
      <c r="AB156" s="41">
        <f>IF($A156="","",SUM($O156:$Q156))</f>
        <v/>
      </c>
      <c r="AC156" s="41">
        <f>IF($A156="","",IFERROR(INDEX('Planner'!$N$6:$N$205,MATCH($B156,'Planner'!$A$6:$A$205,0)),0))</f>
        <v/>
      </c>
      <c r="AD156" s="41">
        <f>IF($A156="","",$AC156-$O156-$Q156)</f>
        <v/>
      </c>
      <c r="AE156" s="41">
        <f>IF($A156="","",$AB156-$AC156)</f>
        <v/>
      </c>
      <c r="AF156" s="73">
        <f>IF($A156="","",IFERROR($AB156/'Settings'!$B$5,0))</f>
        <v/>
      </c>
      <c r="AG156" s="71">
        <f>IF($A156="","",$AF156*'Settings'!$B$4)</f>
        <v/>
      </c>
      <c r="AH156" s="71">
        <f>IF($A156="","",$AE156*'Settings'!$B$17)</f>
        <v/>
      </c>
      <c r="AI156" s="71">
        <f>IF($A156="","",$R156*'Settings'!$B$7)</f>
        <v/>
      </c>
      <c r="AJ156" s="71">
        <f>IF($A156="","",$Z156-$V156-$AH156-$AI156)</f>
        <v/>
      </c>
      <c r="AK156" s="72">
        <f>IF($A156="","",IFERROR($AJ156/$AB156,0))</f>
        <v/>
      </c>
      <c r="AL156" s="38">
        <f>IF($A156="","",IF(OR($C156="Passed",$C156="Expired",$C156="Canceled"),$C156,IF($C156="Completed","Completed",IF(AND($O156&lt;='Settings'!$B$8,$AA156&gt;='Settings'!$B$10,$AJ156&gt;='Settings'!$B$9),IF($C156="Booked","Booked - Meets Targets","Meets Targets"),IF($C156="Booked","Booked - Below Target","Review")))))</f>
        <v/>
      </c>
      <c r="AM156" s="38">
        <f>IF($A156="","",IF(COUNTIF($A$6:$A$205,$A156)&gt;1,"Duplicate Load ID",IF(COUNTIF('Planner'!$A$6:$A$205,$B156)=0,"Trip ID not found",IF(($G156+$H156)&gt;($K156+$L156),"Check schedule",IF(MIN($N156,$O156,$P156,$Q156,$R156,$S156,$T156,$U156,$V156)&lt;0,"Negative value","OK")))))</f>
        <v/>
      </c>
    </row>
    <row r="157">
      <c r="A157" s="34" t="n"/>
      <c r="B157" s="34" t="n"/>
      <c r="C157" s="34" t="n"/>
      <c r="D157" s="34" t="n"/>
      <c r="E157" s="34" t="n"/>
      <c r="F157" s="34" t="n"/>
      <c r="G157" s="69" t="n"/>
      <c r="H157" s="36" t="n"/>
      <c r="I157" s="34" t="n"/>
      <c r="J157" s="34" t="n"/>
      <c r="K157" s="69" t="n"/>
      <c r="L157" s="36" t="n"/>
      <c r="M157" s="34" t="n"/>
      <c r="N157" s="75" t="n"/>
      <c r="O157" s="37" t="n"/>
      <c r="P157" s="37" t="n"/>
      <c r="Q157" s="37" t="n"/>
      <c r="R157" s="76" t="n"/>
      <c r="S157" s="77" t="n"/>
      <c r="T157" s="77" t="n"/>
      <c r="U157" s="77" t="n"/>
      <c r="V157" s="77" t="n"/>
      <c r="W157" s="34" t="n"/>
      <c r="X157" s="78" t="n"/>
      <c r="Y157" s="46" t="n"/>
      <c r="Z157" s="71">
        <f>IF($A157="","",SUM($S157:$U157))</f>
        <v/>
      </c>
      <c r="AA157" s="72">
        <f>IF($A157="","",IFERROR($Z157/$P157,0))</f>
        <v/>
      </c>
      <c r="AB157" s="41">
        <f>IF($A157="","",SUM($O157:$Q157))</f>
        <v/>
      </c>
      <c r="AC157" s="41">
        <f>IF($A157="","",IFERROR(INDEX('Planner'!$N$6:$N$205,MATCH($B157,'Planner'!$A$6:$A$205,0)),0))</f>
        <v/>
      </c>
      <c r="AD157" s="41">
        <f>IF($A157="","",$AC157-$O157-$Q157)</f>
        <v/>
      </c>
      <c r="AE157" s="41">
        <f>IF($A157="","",$AB157-$AC157)</f>
        <v/>
      </c>
      <c r="AF157" s="73">
        <f>IF($A157="","",IFERROR($AB157/'Settings'!$B$5,0))</f>
        <v/>
      </c>
      <c r="AG157" s="71">
        <f>IF($A157="","",$AF157*'Settings'!$B$4)</f>
        <v/>
      </c>
      <c r="AH157" s="71">
        <f>IF($A157="","",$AE157*'Settings'!$B$17)</f>
        <v/>
      </c>
      <c r="AI157" s="71">
        <f>IF($A157="","",$R157*'Settings'!$B$7)</f>
        <v/>
      </c>
      <c r="AJ157" s="71">
        <f>IF($A157="","",$Z157-$V157-$AH157-$AI157)</f>
        <v/>
      </c>
      <c r="AK157" s="72">
        <f>IF($A157="","",IFERROR($AJ157/$AB157,0))</f>
        <v/>
      </c>
      <c r="AL157" s="38">
        <f>IF($A157="","",IF(OR($C157="Passed",$C157="Expired",$C157="Canceled"),$C157,IF($C157="Completed","Completed",IF(AND($O157&lt;='Settings'!$B$8,$AA157&gt;='Settings'!$B$10,$AJ157&gt;='Settings'!$B$9),IF($C157="Booked","Booked - Meets Targets","Meets Targets"),IF($C157="Booked","Booked - Below Target","Review")))))</f>
        <v/>
      </c>
      <c r="AM157" s="38">
        <f>IF($A157="","",IF(COUNTIF($A$6:$A$205,$A157)&gt;1,"Duplicate Load ID",IF(COUNTIF('Planner'!$A$6:$A$205,$B157)=0,"Trip ID not found",IF(($G157+$H157)&gt;($K157+$L157),"Check schedule",IF(MIN($N157,$O157,$P157,$Q157,$R157,$S157,$T157,$U157,$V157)&lt;0,"Negative value","OK")))))</f>
        <v/>
      </c>
    </row>
    <row r="158">
      <c r="A158" s="34" t="n"/>
      <c r="B158" s="34" t="n"/>
      <c r="C158" s="34" t="n"/>
      <c r="D158" s="34" t="n"/>
      <c r="E158" s="34" t="n"/>
      <c r="F158" s="34" t="n"/>
      <c r="G158" s="69" t="n"/>
      <c r="H158" s="36" t="n"/>
      <c r="I158" s="34" t="n"/>
      <c r="J158" s="34" t="n"/>
      <c r="K158" s="69" t="n"/>
      <c r="L158" s="36" t="n"/>
      <c r="M158" s="34" t="n"/>
      <c r="N158" s="75" t="n"/>
      <c r="O158" s="37" t="n"/>
      <c r="P158" s="37" t="n"/>
      <c r="Q158" s="37" t="n"/>
      <c r="R158" s="76" t="n"/>
      <c r="S158" s="77" t="n"/>
      <c r="T158" s="77" t="n"/>
      <c r="U158" s="77" t="n"/>
      <c r="V158" s="77" t="n"/>
      <c r="W158" s="34" t="n"/>
      <c r="X158" s="78" t="n"/>
      <c r="Y158" s="46" t="n"/>
      <c r="Z158" s="71">
        <f>IF($A158="","",SUM($S158:$U158))</f>
        <v/>
      </c>
      <c r="AA158" s="72">
        <f>IF($A158="","",IFERROR($Z158/$P158,0))</f>
        <v/>
      </c>
      <c r="AB158" s="41">
        <f>IF($A158="","",SUM($O158:$Q158))</f>
        <v/>
      </c>
      <c r="AC158" s="41">
        <f>IF($A158="","",IFERROR(INDEX('Planner'!$N$6:$N$205,MATCH($B158,'Planner'!$A$6:$A$205,0)),0))</f>
        <v/>
      </c>
      <c r="AD158" s="41">
        <f>IF($A158="","",$AC158-$O158-$Q158)</f>
        <v/>
      </c>
      <c r="AE158" s="41">
        <f>IF($A158="","",$AB158-$AC158)</f>
        <v/>
      </c>
      <c r="AF158" s="73">
        <f>IF($A158="","",IFERROR($AB158/'Settings'!$B$5,0))</f>
        <v/>
      </c>
      <c r="AG158" s="71">
        <f>IF($A158="","",$AF158*'Settings'!$B$4)</f>
        <v/>
      </c>
      <c r="AH158" s="71">
        <f>IF($A158="","",$AE158*'Settings'!$B$17)</f>
        <v/>
      </c>
      <c r="AI158" s="71">
        <f>IF($A158="","",$R158*'Settings'!$B$7)</f>
        <v/>
      </c>
      <c r="AJ158" s="71">
        <f>IF($A158="","",$Z158-$V158-$AH158-$AI158)</f>
        <v/>
      </c>
      <c r="AK158" s="72">
        <f>IF($A158="","",IFERROR($AJ158/$AB158,0))</f>
        <v/>
      </c>
      <c r="AL158" s="38">
        <f>IF($A158="","",IF(OR($C158="Passed",$C158="Expired",$C158="Canceled"),$C158,IF($C158="Completed","Completed",IF(AND($O158&lt;='Settings'!$B$8,$AA158&gt;='Settings'!$B$10,$AJ158&gt;='Settings'!$B$9),IF($C158="Booked","Booked - Meets Targets","Meets Targets"),IF($C158="Booked","Booked - Below Target","Review")))))</f>
        <v/>
      </c>
      <c r="AM158" s="38">
        <f>IF($A158="","",IF(COUNTIF($A$6:$A$205,$A158)&gt;1,"Duplicate Load ID",IF(COUNTIF('Planner'!$A$6:$A$205,$B158)=0,"Trip ID not found",IF(($G158+$H158)&gt;($K158+$L158),"Check schedule",IF(MIN($N158,$O158,$P158,$Q158,$R158,$S158,$T158,$U158,$V158)&lt;0,"Negative value","OK")))))</f>
        <v/>
      </c>
    </row>
    <row r="159">
      <c r="A159" s="34" t="n"/>
      <c r="B159" s="34" t="n"/>
      <c r="C159" s="34" t="n"/>
      <c r="D159" s="34" t="n"/>
      <c r="E159" s="34" t="n"/>
      <c r="F159" s="34" t="n"/>
      <c r="G159" s="69" t="n"/>
      <c r="H159" s="36" t="n"/>
      <c r="I159" s="34" t="n"/>
      <c r="J159" s="34" t="n"/>
      <c r="K159" s="69" t="n"/>
      <c r="L159" s="36" t="n"/>
      <c r="M159" s="34" t="n"/>
      <c r="N159" s="75" t="n"/>
      <c r="O159" s="37" t="n"/>
      <c r="P159" s="37" t="n"/>
      <c r="Q159" s="37" t="n"/>
      <c r="R159" s="76" t="n"/>
      <c r="S159" s="77" t="n"/>
      <c r="T159" s="77" t="n"/>
      <c r="U159" s="77" t="n"/>
      <c r="V159" s="77" t="n"/>
      <c r="W159" s="34" t="n"/>
      <c r="X159" s="78" t="n"/>
      <c r="Y159" s="46" t="n"/>
      <c r="Z159" s="71">
        <f>IF($A159="","",SUM($S159:$U159))</f>
        <v/>
      </c>
      <c r="AA159" s="72">
        <f>IF($A159="","",IFERROR($Z159/$P159,0))</f>
        <v/>
      </c>
      <c r="AB159" s="41">
        <f>IF($A159="","",SUM($O159:$Q159))</f>
        <v/>
      </c>
      <c r="AC159" s="41">
        <f>IF($A159="","",IFERROR(INDEX('Planner'!$N$6:$N$205,MATCH($B159,'Planner'!$A$6:$A$205,0)),0))</f>
        <v/>
      </c>
      <c r="AD159" s="41">
        <f>IF($A159="","",$AC159-$O159-$Q159)</f>
        <v/>
      </c>
      <c r="AE159" s="41">
        <f>IF($A159="","",$AB159-$AC159)</f>
        <v/>
      </c>
      <c r="AF159" s="73">
        <f>IF($A159="","",IFERROR($AB159/'Settings'!$B$5,0))</f>
        <v/>
      </c>
      <c r="AG159" s="71">
        <f>IF($A159="","",$AF159*'Settings'!$B$4)</f>
        <v/>
      </c>
      <c r="AH159" s="71">
        <f>IF($A159="","",$AE159*'Settings'!$B$17)</f>
        <v/>
      </c>
      <c r="AI159" s="71">
        <f>IF($A159="","",$R159*'Settings'!$B$7)</f>
        <v/>
      </c>
      <c r="AJ159" s="71">
        <f>IF($A159="","",$Z159-$V159-$AH159-$AI159)</f>
        <v/>
      </c>
      <c r="AK159" s="72">
        <f>IF($A159="","",IFERROR($AJ159/$AB159,0))</f>
        <v/>
      </c>
      <c r="AL159" s="38">
        <f>IF($A159="","",IF(OR($C159="Passed",$C159="Expired",$C159="Canceled"),$C159,IF($C159="Completed","Completed",IF(AND($O159&lt;='Settings'!$B$8,$AA159&gt;='Settings'!$B$10,$AJ159&gt;='Settings'!$B$9),IF($C159="Booked","Booked - Meets Targets","Meets Targets"),IF($C159="Booked","Booked - Below Target","Review")))))</f>
        <v/>
      </c>
      <c r="AM159" s="38">
        <f>IF($A159="","",IF(COUNTIF($A$6:$A$205,$A159)&gt;1,"Duplicate Load ID",IF(COUNTIF('Planner'!$A$6:$A$205,$B159)=0,"Trip ID not found",IF(($G159+$H159)&gt;($K159+$L159),"Check schedule",IF(MIN($N159,$O159,$P159,$Q159,$R159,$S159,$T159,$U159,$V159)&lt;0,"Negative value","OK")))))</f>
        <v/>
      </c>
    </row>
    <row r="160">
      <c r="A160" s="34" t="n"/>
      <c r="B160" s="34" t="n"/>
      <c r="C160" s="34" t="n"/>
      <c r="D160" s="34" t="n"/>
      <c r="E160" s="34" t="n"/>
      <c r="F160" s="34" t="n"/>
      <c r="G160" s="69" t="n"/>
      <c r="H160" s="36" t="n"/>
      <c r="I160" s="34" t="n"/>
      <c r="J160" s="34" t="n"/>
      <c r="K160" s="69" t="n"/>
      <c r="L160" s="36" t="n"/>
      <c r="M160" s="34" t="n"/>
      <c r="N160" s="75" t="n"/>
      <c r="O160" s="37" t="n"/>
      <c r="P160" s="37" t="n"/>
      <c r="Q160" s="37" t="n"/>
      <c r="R160" s="76" t="n"/>
      <c r="S160" s="77" t="n"/>
      <c r="T160" s="77" t="n"/>
      <c r="U160" s="77" t="n"/>
      <c r="V160" s="77" t="n"/>
      <c r="W160" s="34" t="n"/>
      <c r="X160" s="78" t="n"/>
      <c r="Y160" s="46" t="n"/>
      <c r="Z160" s="71">
        <f>IF($A160="","",SUM($S160:$U160))</f>
        <v/>
      </c>
      <c r="AA160" s="72">
        <f>IF($A160="","",IFERROR($Z160/$P160,0))</f>
        <v/>
      </c>
      <c r="AB160" s="41">
        <f>IF($A160="","",SUM($O160:$Q160))</f>
        <v/>
      </c>
      <c r="AC160" s="41">
        <f>IF($A160="","",IFERROR(INDEX('Planner'!$N$6:$N$205,MATCH($B160,'Planner'!$A$6:$A$205,0)),0))</f>
        <v/>
      </c>
      <c r="AD160" s="41">
        <f>IF($A160="","",$AC160-$O160-$Q160)</f>
        <v/>
      </c>
      <c r="AE160" s="41">
        <f>IF($A160="","",$AB160-$AC160)</f>
        <v/>
      </c>
      <c r="AF160" s="73">
        <f>IF($A160="","",IFERROR($AB160/'Settings'!$B$5,0))</f>
        <v/>
      </c>
      <c r="AG160" s="71">
        <f>IF($A160="","",$AF160*'Settings'!$B$4)</f>
        <v/>
      </c>
      <c r="AH160" s="71">
        <f>IF($A160="","",$AE160*'Settings'!$B$17)</f>
        <v/>
      </c>
      <c r="AI160" s="71">
        <f>IF($A160="","",$R160*'Settings'!$B$7)</f>
        <v/>
      </c>
      <c r="AJ160" s="71">
        <f>IF($A160="","",$Z160-$V160-$AH160-$AI160)</f>
        <v/>
      </c>
      <c r="AK160" s="72">
        <f>IF($A160="","",IFERROR($AJ160/$AB160,0))</f>
        <v/>
      </c>
      <c r="AL160" s="38">
        <f>IF($A160="","",IF(OR($C160="Passed",$C160="Expired",$C160="Canceled"),$C160,IF($C160="Completed","Completed",IF(AND($O160&lt;='Settings'!$B$8,$AA160&gt;='Settings'!$B$10,$AJ160&gt;='Settings'!$B$9),IF($C160="Booked","Booked - Meets Targets","Meets Targets"),IF($C160="Booked","Booked - Below Target","Review")))))</f>
        <v/>
      </c>
      <c r="AM160" s="38">
        <f>IF($A160="","",IF(COUNTIF($A$6:$A$205,$A160)&gt;1,"Duplicate Load ID",IF(COUNTIF('Planner'!$A$6:$A$205,$B160)=0,"Trip ID not found",IF(($G160+$H160)&gt;($K160+$L160),"Check schedule",IF(MIN($N160,$O160,$P160,$Q160,$R160,$S160,$T160,$U160,$V160)&lt;0,"Negative value","OK")))))</f>
        <v/>
      </c>
    </row>
    <row r="161">
      <c r="A161" s="34" t="n"/>
      <c r="B161" s="34" t="n"/>
      <c r="C161" s="34" t="n"/>
      <c r="D161" s="34" t="n"/>
      <c r="E161" s="34" t="n"/>
      <c r="F161" s="34" t="n"/>
      <c r="G161" s="69" t="n"/>
      <c r="H161" s="36" t="n"/>
      <c r="I161" s="34" t="n"/>
      <c r="J161" s="34" t="n"/>
      <c r="K161" s="69" t="n"/>
      <c r="L161" s="36" t="n"/>
      <c r="M161" s="34" t="n"/>
      <c r="N161" s="75" t="n"/>
      <c r="O161" s="37" t="n"/>
      <c r="P161" s="37" t="n"/>
      <c r="Q161" s="37" t="n"/>
      <c r="R161" s="76" t="n"/>
      <c r="S161" s="77" t="n"/>
      <c r="T161" s="77" t="n"/>
      <c r="U161" s="77" t="n"/>
      <c r="V161" s="77" t="n"/>
      <c r="W161" s="34" t="n"/>
      <c r="X161" s="78" t="n"/>
      <c r="Y161" s="46" t="n"/>
      <c r="Z161" s="71">
        <f>IF($A161="","",SUM($S161:$U161))</f>
        <v/>
      </c>
      <c r="AA161" s="72">
        <f>IF($A161="","",IFERROR($Z161/$P161,0))</f>
        <v/>
      </c>
      <c r="AB161" s="41">
        <f>IF($A161="","",SUM($O161:$Q161))</f>
        <v/>
      </c>
      <c r="AC161" s="41">
        <f>IF($A161="","",IFERROR(INDEX('Planner'!$N$6:$N$205,MATCH($B161,'Planner'!$A$6:$A$205,0)),0))</f>
        <v/>
      </c>
      <c r="AD161" s="41">
        <f>IF($A161="","",$AC161-$O161-$Q161)</f>
        <v/>
      </c>
      <c r="AE161" s="41">
        <f>IF($A161="","",$AB161-$AC161)</f>
        <v/>
      </c>
      <c r="AF161" s="73">
        <f>IF($A161="","",IFERROR($AB161/'Settings'!$B$5,0))</f>
        <v/>
      </c>
      <c r="AG161" s="71">
        <f>IF($A161="","",$AF161*'Settings'!$B$4)</f>
        <v/>
      </c>
      <c r="AH161" s="71">
        <f>IF($A161="","",$AE161*'Settings'!$B$17)</f>
        <v/>
      </c>
      <c r="AI161" s="71">
        <f>IF($A161="","",$R161*'Settings'!$B$7)</f>
        <v/>
      </c>
      <c r="AJ161" s="71">
        <f>IF($A161="","",$Z161-$V161-$AH161-$AI161)</f>
        <v/>
      </c>
      <c r="AK161" s="72">
        <f>IF($A161="","",IFERROR($AJ161/$AB161,0))</f>
        <v/>
      </c>
      <c r="AL161" s="38">
        <f>IF($A161="","",IF(OR($C161="Passed",$C161="Expired",$C161="Canceled"),$C161,IF($C161="Completed","Completed",IF(AND($O161&lt;='Settings'!$B$8,$AA161&gt;='Settings'!$B$10,$AJ161&gt;='Settings'!$B$9),IF($C161="Booked","Booked - Meets Targets","Meets Targets"),IF($C161="Booked","Booked - Below Target","Review")))))</f>
        <v/>
      </c>
      <c r="AM161" s="38">
        <f>IF($A161="","",IF(COUNTIF($A$6:$A$205,$A161)&gt;1,"Duplicate Load ID",IF(COUNTIF('Planner'!$A$6:$A$205,$B161)=0,"Trip ID not found",IF(($G161+$H161)&gt;($K161+$L161),"Check schedule",IF(MIN($N161,$O161,$P161,$Q161,$R161,$S161,$T161,$U161,$V161)&lt;0,"Negative value","OK")))))</f>
        <v/>
      </c>
    </row>
    <row r="162">
      <c r="A162" s="34" t="n"/>
      <c r="B162" s="34" t="n"/>
      <c r="C162" s="34" t="n"/>
      <c r="D162" s="34" t="n"/>
      <c r="E162" s="34" t="n"/>
      <c r="F162" s="34" t="n"/>
      <c r="G162" s="69" t="n"/>
      <c r="H162" s="36" t="n"/>
      <c r="I162" s="34" t="n"/>
      <c r="J162" s="34" t="n"/>
      <c r="K162" s="69" t="n"/>
      <c r="L162" s="36" t="n"/>
      <c r="M162" s="34" t="n"/>
      <c r="N162" s="75" t="n"/>
      <c r="O162" s="37" t="n"/>
      <c r="P162" s="37" t="n"/>
      <c r="Q162" s="37" t="n"/>
      <c r="R162" s="76" t="n"/>
      <c r="S162" s="77" t="n"/>
      <c r="T162" s="77" t="n"/>
      <c r="U162" s="77" t="n"/>
      <c r="V162" s="77" t="n"/>
      <c r="W162" s="34" t="n"/>
      <c r="X162" s="78" t="n"/>
      <c r="Y162" s="46" t="n"/>
      <c r="Z162" s="71">
        <f>IF($A162="","",SUM($S162:$U162))</f>
        <v/>
      </c>
      <c r="AA162" s="72">
        <f>IF($A162="","",IFERROR($Z162/$P162,0))</f>
        <v/>
      </c>
      <c r="AB162" s="41">
        <f>IF($A162="","",SUM($O162:$Q162))</f>
        <v/>
      </c>
      <c r="AC162" s="41">
        <f>IF($A162="","",IFERROR(INDEX('Planner'!$N$6:$N$205,MATCH($B162,'Planner'!$A$6:$A$205,0)),0))</f>
        <v/>
      </c>
      <c r="AD162" s="41">
        <f>IF($A162="","",$AC162-$O162-$Q162)</f>
        <v/>
      </c>
      <c r="AE162" s="41">
        <f>IF($A162="","",$AB162-$AC162)</f>
        <v/>
      </c>
      <c r="AF162" s="73">
        <f>IF($A162="","",IFERROR($AB162/'Settings'!$B$5,0))</f>
        <v/>
      </c>
      <c r="AG162" s="71">
        <f>IF($A162="","",$AF162*'Settings'!$B$4)</f>
        <v/>
      </c>
      <c r="AH162" s="71">
        <f>IF($A162="","",$AE162*'Settings'!$B$17)</f>
        <v/>
      </c>
      <c r="AI162" s="71">
        <f>IF($A162="","",$R162*'Settings'!$B$7)</f>
        <v/>
      </c>
      <c r="AJ162" s="71">
        <f>IF($A162="","",$Z162-$V162-$AH162-$AI162)</f>
        <v/>
      </c>
      <c r="AK162" s="72">
        <f>IF($A162="","",IFERROR($AJ162/$AB162,0))</f>
        <v/>
      </c>
      <c r="AL162" s="38">
        <f>IF($A162="","",IF(OR($C162="Passed",$C162="Expired",$C162="Canceled"),$C162,IF($C162="Completed","Completed",IF(AND($O162&lt;='Settings'!$B$8,$AA162&gt;='Settings'!$B$10,$AJ162&gt;='Settings'!$B$9),IF($C162="Booked","Booked - Meets Targets","Meets Targets"),IF($C162="Booked","Booked - Below Target","Review")))))</f>
        <v/>
      </c>
      <c r="AM162" s="38">
        <f>IF($A162="","",IF(COUNTIF($A$6:$A$205,$A162)&gt;1,"Duplicate Load ID",IF(COUNTIF('Planner'!$A$6:$A$205,$B162)=0,"Trip ID not found",IF(($G162+$H162)&gt;($K162+$L162),"Check schedule",IF(MIN($N162,$O162,$P162,$Q162,$R162,$S162,$T162,$U162,$V162)&lt;0,"Negative value","OK")))))</f>
        <v/>
      </c>
    </row>
    <row r="163">
      <c r="A163" s="34" t="n"/>
      <c r="B163" s="34" t="n"/>
      <c r="C163" s="34" t="n"/>
      <c r="D163" s="34" t="n"/>
      <c r="E163" s="34" t="n"/>
      <c r="F163" s="34" t="n"/>
      <c r="G163" s="69" t="n"/>
      <c r="H163" s="36" t="n"/>
      <c r="I163" s="34" t="n"/>
      <c r="J163" s="34" t="n"/>
      <c r="K163" s="69" t="n"/>
      <c r="L163" s="36" t="n"/>
      <c r="M163" s="34" t="n"/>
      <c r="N163" s="75" t="n"/>
      <c r="O163" s="37" t="n"/>
      <c r="P163" s="37" t="n"/>
      <c r="Q163" s="37" t="n"/>
      <c r="R163" s="76" t="n"/>
      <c r="S163" s="77" t="n"/>
      <c r="T163" s="77" t="n"/>
      <c r="U163" s="77" t="n"/>
      <c r="V163" s="77" t="n"/>
      <c r="W163" s="34" t="n"/>
      <c r="X163" s="78" t="n"/>
      <c r="Y163" s="46" t="n"/>
      <c r="Z163" s="71">
        <f>IF($A163="","",SUM($S163:$U163))</f>
        <v/>
      </c>
      <c r="AA163" s="72">
        <f>IF($A163="","",IFERROR($Z163/$P163,0))</f>
        <v/>
      </c>
      <c r="AB163" s="41">
        <f>IF($A163="","",SUM($O163:$Q163))</f>
        <v/>
      </c>
      <c r="AC163" s="41">
        <f>IF($A163="","",IFERROR(INDEX('Planner'!$N$6:$N$205,MATCH($B163,'Planner'!$A$6:$A$205,0)),0))</f>
        <v/>
      </c>
      <c r="AD163" s="41">
        <f>IF($A163="","",$AC163-$O163-$Q163)</f>
        <v/>
      </c>
      <c r="AE163" s="41">
        <f>IF($A163="","",$AB163-$AC163)</f>
        <v/>
      </c>
      <c r="AF163" s="73">
        <f>IF($A163="","",IFERROR($AB163/'Settings'!$B$5,0))</f>
        <v/>
      </c>
      <c r="AG163" s="71">
        <f>IF($A163="","",$AF163*'Settings'!$B$4)</f>
        <v/>
      </c>
      <c r="AH163" s="71">
        <f>IF($A163="","",$AE163*'Settings'!$B$17)</f>
        <v/>
      </c>
      <c r="AI163" s="71">
        <f>IF($A163="","",$R163*'Settings'!$B$7)</f>
        <v/>
      </c>
      <c r="AJ163" s="71">
        <f>IF($A163="","",$Z163-$V163-$AH163-$AI163)</f>
        <v/>
      </c>
      <c r="AK163" s="72">
        <f>IF($A163="","",IFERROR($AJ163/$AB163,0))</f>
        <v/>
      </c>
      <c r="AL163" s="38">
        <f>IF($A163="","",IF(OR($C163="Passed",$C163="Expired",$C163="Canceled"),$C163,IF($C163="Completed","Completed",IF(AND($O163&lt;='Settings'!$B$8,$AA163&gt;='Settings'!$B$10,$AJ163&gt;='Settings'!$B$9),IF($C163="Booked","Booked - Meets Targets","Meets Targets"),IF($C163="Booked","Booked - Below Target","Review")))))</f>
        <v/>
      </c>
      <c r="AM163" s="38">
        <f>IF($A163="","",IF(COUNTIF($A$6:$A$205,$A163)&gt;1,"Duplicate Load ID",IF(COUNTIF('Planner'!$A$6:$A$205,$B163)=0,"Trip ID not found",IF(($G163+$H163)&gt;($K163+$L163),"Check schedule",IF(MIN($N163,$O163,$P163,$Q163,$R163,$S163,$T163,$U163,$V163)&lt;0,"Negative value","OK")))))</f>
        <v/>
      </c>
    </row>
    <row r="164">
      <c r="A164" s="34" t="n"/>
      <c r="B164" s="34" t="n"/>
      <c r="C164" s="34" t="n"/>
      <c r="D164" s="34" t="n"/>
      <c r="E164" s="34" t="n"/>
      <c r="F164" s="34" t="n"/>
      <c r="G164" s="69" t="n"/>
      <c r="H164" s="36" t="n"/>
      <c r="I164" s="34" t="n"/>
      <c r="J164" s="34" t="n"/>
      <c r="K164" s="69" t="n"/>
      <c r="L164" s="36" t="n"/>
      <c r="M164" s="34" t="n"/>
      <c r="N164" s="75" t="n"/>
      <c r="O164" s="37" t="n"/>
      <c r="P164" s="37" t="n"/>
      <c r="Q164" s="37" t="n"/>
      <c r="R164" s="76" t="n"/>
      <c r="S164" s="77" t="n"/>
      <c r="T164" s="77" t="n"/>
      <c r="U164" s="77" t="n"/>
      <c r="V164" s="77" t="n"/>
      <c r="W164" s="34" t="n"/>
      <c r="X164" s="78" t="n"/>
      <c r="Y164" s="46" t="n"/>
      <c r="Z164" s="71">
        <f>IF($A164="","",SUM($S164:$U164))</f>
        <v/>
      </c>
      <c r="AA164" s="72">
        <f>IF($A164="","",IFERROR($Z164/$P164,0))</f>
        <v/>
      </c>
      <c r="AB164" s="41">
        <f>IF($A164="","",SUM($O164:$Q164))</f>
        <v/>
      </c>
      <c r="AC164" s="41">
        <f>IF($A164="","",IFERROR(INDEX('Planner'!$N$6:$N$205,MATCH($B164,'Planner'!$A$6:$A$205,0)),0))</f>
        <v/>
      </c>
      <c r="AD164" s="41">
        <f>IF($A164="","",$AC164-$O164-$Q164)</f>
        <v/>
      </c>
      <c r="AE164" s="41">
        <f>IF($A164="","",$AB164-$AC164)</f>
        <v/>
      </c>
      <c r="AF164" s="73">
        <f>IF($A164="","",IFERROR($AB164/'Settings'!$B$5,0))</f>
        <v/>
      </c>
      <c r="AG164" s="71">
        <f>IF($A164="","",$AF164*'Settings'!$B$4)</f>
        <v/>
      </c>
      <c r="AH164" s="71">
        <f>IF($A164="","",$AE164*'Settings'!$B$17)</f>
        <v/>
      </c>
      <c r="AI164" s="71">
        <f>IF($A164="","",$R164*'Settings'!$B$7)</f>
        <v/>
      </c>
      <c r="AJ164" s="71">
        <f>IF($A164="","",$Z164-$V164-$AH164-$AI164)</f>
        <v/>
      </c>
      <c r="AK164" s="72">
        <f>IF($A164="","",IFERROR($AJ164/$AB164,0))</f>
        <v/>
      </c>
      <c r="AL164" s="38">
        <f>IF($A164="","",IF(OR($C164="Passed",$C164="Expired",$C164="Canceled"),$C164,IF($C164="Completed","Completed",IF(AND($O164&lt;='Settings'!$B$8,$AA164&gt;='Settings'!$B$10,$AJ164&gt;='Settings'!$B$9),IF($C164="Booked","Booked - Meets Targets","Meets Targets"),IF($C164="Booked","Booked - Below Target","Review")))))</f>
        <v/>
      </c>
      <c r="AM164" s="38">
        <f>IF($A164="","",IF(COUNTIF($A$6:$A$205,$A164)&gt;1,"Duplicate Load ID",IF(COUNTIF('Planner'!$A$6:$A$205,$B164)=0,"Trip ID not found",IF(($G164+$H164)&gt;($K164+$L164),"Check schedule",IF(MIN($N164,$O164,$P164,$Q164,$R164,$S164,$T164,$U164,$V164)&lt;0,"Negative value","OK")))))</f>
        <v/>
      </c>
    </row>
    <row r="165">
      <c r="A165" s="34" t="n"/>
      <c r="B165" s="34" t="n"/>
      <c r="C165" s="34" t="n"/>
      <c r="D165" s="34" t="n"/>
      <c r="E165" s="34" t="n"/>
      <c r="F165" s="34" t="n"/>
      <c r="G165" s="69" t="n"/>
      <c r="H165" s="36" t="n"/>
      <c r="I165" s="34" t="n"/>
      <c r="J165" s="34" t="n"/>
      <c r="K165" s="69" t="n"/>
      <c r="L165" s="36" t="n"/>
      <c r="M165" s="34" t="n"/>
      <c r="N165" s="75" t="n"/>
      <c r="O165" s="37" t="n"/>
      <c r="P165" s="37" t="n"/>
      <c r="Q165" s="37" t="n"/>
      <c r="R165" s="76" t="n"/>
      <c r="S165" s="77" t="n"/>
      <c r="T165" s="77" t="n"/>
      <c r="U165" s="77" t="n"/>
      <c r="V165" s="77" t="n"/>
      <c r="W165" s="34" t="n"/>
      <c r="X165" s="78" t="n"/>
      <c r="Y165" s="46" t="n"/>
      <c r="Z165" s="71">
        <f>IF($A165="","",SUM($S165:$U165))</f>
        <v/>
      </c>
      <c r="AA165" s="72">
        <f>IF($A165="","",IFERROR($Z165/$P165,0))</f>
        <v/>
      </c>
      <c r="AB165" s="41">
        <f>IF($A165="","",SUM($O165:$Q165))</f>
        <v/>
      </c>
      <c r="AC165" s="41">
        <f>IF($A165="","",IFERROR(INDEX('Planner'!$N$6:$N$205,MATCH($B165,'Planner'!$A$6:$A$205,0)),0))</f>
        <v/>
      </c>
      <c r="AD165" s="41">
        <f>IF($A165="","",$AC165-$O165-$Q165)</f>
        <v/>
      </c>
      <c r="AE165" s="41">
        <f>IF($A165="","",$AB165-$AC165)</f>
        <v/>
      </c>
      <c r="AF165" s="73">
        <f>IF($A165="","",IFERROR($AB165/'Settings'!$B$5,0))</f>
        <v/>
      </c>
      <c r="AG165" s="71">
        <f>IF($A165="","",$AF165*'Settings'!$B$4)</f>
        <v/>
      </c>
      <c r="AH165" s="71">
        <f>IF($A165="","",$AE165*'Settings'!$B$17)</f>
        <v/>
      </c>
      <c r="AI165" s="71">
        <f>IF($A165="","",$R165*'Settings'!$B$7)</f>
        <v/>
      </c>
      <c r="AJ165" s="71">
        <f>IF($A165="","",$Z165-$V165-$AH165-$AI165)</f>
        <v/>
      </c>
      <c r="AK165" s="72">
        <f>IF($A165="","",IFERROR($AJ165/$AB165,0))</f>
        <v/>
      </c>
      <c r="AL165" s="38">
        <f>IF($A165="","",IF(OR($C165="Passed",$C165="Expired",$C165="Canceled"),$C165,IF($C165="Completed","Completed",IF(AND($O165&lt;='Settings'!$B$8,$AA165&gt;='Settings'!$B$10,$AJ165&gt;='Settings'!$B$9),IF($C165="Booked","Booked - Meets Targets","Meets Targets"),IF($C165="Booked","Booked - Below Target","Review")))))</f>
        <v/>
      </c>
      <c r="AM165" s="38">
        <f>IF($A165="","",IF(COUNTIF($A$6:$A$205,$A165)&gt;1,"Duplicate Load ID",IF(COUNTIF('Planner'!$A$6:$A$205,$B165)=0,"Trip ID not found",IF(($G165+$H165)&gt;($K165+$L165),"Check schedule",IF(MIN($N165,$O165,$P165,$Q165,$R165,$S165,$T165,$U165,$V165)&lt;0,"Negative value","OK")))))</f>
        <v/>
      </c>
    </row>
    <row r="166">
      <c r="A166" s="34" t="n"/>
      <c r="B166" s="34" t="n"/>
      <c r="C166" s="34" t="n"/>
      <c r="D166" s="34" t="n"/>
      <c r="E166" s="34" t="n"/>
      <c r="F166" s="34" t="n"/>
      <c r="G166" s="69" t="n"/>
      <c r="H166" s="36" t="n"/>
      <c r="I166" s="34" t="n"/>
      <c r="J166" s="34" t="n"/>
      <c r="K166" s="69" t="n"/>
      <c r="L166" s="36" t="n"/>
      <c r="M166" s="34" t="n"/>
      <c r="N166" s="75" t="n"/>
      <c r="O166" s="37" t="n"/>
      <c r="P166" s="37" t="n"/>
      <c r="Q166" s="37" t="n"/>
      <c r="R166" s="76" t="n"/>
      <c r="S166" s="77" t="n"/>
      <c r="T166" s="77" t="n"/>
      <c r="U166" s="77" t="n"/>
      <c r="V166" s="77" t="n"/>
      <c r="W166" s="34" t="n"/>
      <c r="X166" s="78" t="n"/>
      <c r="Y166" s="46" t="n"/>
      <c r="Z166" s="71">
        <f>IF($A166="","",SUM($S166:$U166))</f>
        <v/>
      </c>
      <c r="AA166" s="72">
        <f>IF($A166="","",IFERROR($Z166/$P166,0))</f>
        <v/>
      </c>
      <c r="AB166" s="41">
        <f>IF($A166="","",SUM($O166:$Q166))</f>
        <v/>
      </c>
      <c r="AC166" s="41">
        <f>IF($A166="","",IFERROR(INDEX('Planner'!$N$6:$N$205,MATCH($B166,'Planner'!$A$6:$A$205,0)),0))</f>
        <v/>
      </c>
      <c r="AD166" s="41">
        <f>IF($A166="","",$AC166-$O166-$Q166)</f>
        <v/>
      </c>
      <c r="AE166" s="41">
        <f>IF($A166="","",$AB166-$AC166)</f>
        <v/>
      </c>
      <c r="AF166" s="73">
        <f>IF($A166="","",IFERROR($AB166/'Settings'!$B$5,0))</f>
        <v/>
      </c>
      <c r="AG166" s="71">
        <f>IF($A166="","",$AF166*'Settings'!$B$4)</f>
        <v/>
      </c>
      <c r="AH166" s="71">
        <f>IF($A166="","",$AE166*'Settings'!$B$17)</f>
        <v/>
      </c>
      <c r="AI166" s="71">
        <f>IF($A166="","",$R166*'Settings'!$B$7)</f>
        <v/>
      </c>
      <c r="AJ166" s="71">
        <f>IF($A166="","",$Z166-$V166-$AH166-$AI166)</f>
        <v/>
      </c>
      <c r="AK166" s="72">
        <f>IF($A166="","",IFERROR($AJ166/$AB166,0))</f>
        <v/>
      </c>
      <c r="AL166" s="38">
        <f>IF($A166="","",IF(OR($C166="Passed",$C166="Expired",$C166="Canceled"),$C166,IF($C166="Completed","Completed",IF(AND($O166&lt;='Settings'!$B$8,$AA166&gt;='Settings'!$B$10,$AJ166&gt;='Settings'!$B$9),IF($C166="Booked","Booked - Meets Targets","Meets Targets"),IF($C166="Booked","Booked - Below Target","Review")))))</f>
        <v/>
      </c>
      <c r="AM166" s="38">
        <f>IF($A166="","",IF(COUNTIF($A$6:$A$205,$A166)&gt;1,"Duplicate Load ID",IF(COUNTIF('Planner'!$A$6:$A$205,$B166)=0,"Trip ID not found",IF(($G166+$H166)&gt;($K166+$L166),"Check schedule",IF(MIN($N166,$O166,$P166,$Q166,$R166,$S166,$T166,$U166,$V166)&lt;0,"Negative value","OK")))))</f>
        <v/>
      </c>
    </row>
    <row r="167">
      <c r="A167" s="34" t="n"/>
      <c r="B167" s="34" t="n"/>
      <c r="C167" s="34" t="n"/>
      <c r="D167" s="34" t="n"/>
      <c r="E167" s="34" t="n"/>
      <c r="F167" s="34" t="n"/>
      <c r="G167" s="69" t="n"/>
      <c r="H167" s="36" t="n"/>
      <c r="I167" s="34" t="n"/>
      <c r="J167" s="34" t="n"/>
      <c r="K167" s="69" t="n"/>
      <c r="L167" s="36" t="n"/>
      <c r="M167" s="34" t="n"/>
      <c r="N167" s="75" t="n"/>
      <c r="O167" s="37" t="n"/>
      <c r="P167" s="37" t="n"/>
      <c r="Q167" s="37" t="n"/>
      <c r="R167" s="76" t="n"/>
      <c r="S167" s="77" t="n"/>
      <c r="T167" s="77" t="n"/>
      <c r="U167" s="77" t="n"/>
      <c r="V167" s="77" t="n"/>
      <c r="W167" s="34" t="n"/>
      <c r="X167" s="78" t="n"/>
      <c r="Y167" s="46" t="n"/>
      <c r="Z167" s="71">
        <f>IF($A167="","",SUM($S167:$U167))</f>
        <v/>
      </c>
      <c r="AA167" s="72">
        <f>IF($A167="","",IFERROR($Z167/$P167,0))</f>
        <v/>
      </c>
      <c r="AB167" s="41">
        <f>IF($A167="","",SUM($O167:$Q167))</f>
        <v/>
      </c>
      <c r="AC167" s="41">
        <f>IF($A167="","",IFERROR(INDEX('Planner'!$N$6:$N$205,MATCH($B167,'Planner'!$A$6:$A$205,0)),0))</f>
        <v/>
      </c>
      <c r="AD167" s="41">
        <f>IF($A167="","",$AC167-$O167-$Q167)</f>
        <v/>
      </c>
      <c r="AE167" s="41">
        <f>IF($A167="","",$AB167-$AC167)</f>
        <v/>
      </c>
      <c r="AF167" s="73">
        <f>IF($A167="","",IFERROR($AB167/'Settings'!$B$5,0))</f>
        <v/>
      </c>
      <c r="AG167" s="71">
        <f>IF($A167="","",$AF167*'Settings'!$B$4)</f>
        <v/>
      </c>
      <c r="AH167" s="71">
        <f>IF($A167="","",$AE167*'Settings'!$B$17)</f>
        <v/>
      </c>
      <c r="AI167" s="71">
        <f>IF($A167="","",$R167*'Settings'!$B$7)</f>
        <v/>
      </c>
      <c r="AJ167" s="71">
        <f>IF($A167="","",$Z167-$V167-$AH167-$AI167)</f>
        <v/>
      </c>
      <c r="AK167" s="72">
        <f>IF($A167="","",IFERROR($AJ167/$AB167,0))</f>
        <v/>
      </c>
      <c r="AL167" s="38">
        <f>IF($A167="","",IF(OR($C167="Passed",$C167="Expired",$C167="Canceled"),$C167,IF($C167="Completed","Completed",IF(AND($O167&lt;='Settings'!$B$8,$AA167&gt;='Settings'!$B$10,$AJ167&gt;='Settings'!$B$9),IF($C167="Booked","Booked - Meets Targets","Meets Targets"),IF($C167="Booked","Booked - Below Target","Review")))))</f>
        <v/>
      </c>
      <c r="AM167" s="38">
        <f>IF($A167="","",IF(COUNTIF($A$6:$A$205,$A167)&gt;1,"Duplicate Load ID",IF(COUNTIF('Planner'!$A$6:$A$205,$B167)=0,"Trip ID not found",IF(($G167+$H167)&gt;($K167+$L167),"Check schedule",IF(MIN($N167,$O167,$P167,$Q167,$R167,$S167,$T167,$U167,$V167)&lt;0,"Negative value","OK")))))</f>
        <v/>
      </c>
    </row>
    <row r="168">
      <c r="A168" s="34" t="n"/>
      <c r="B168" s="34" t="n"/>
      <c r="C168" s="34" t="n"/>
      <c r="D168" s="34" t="n"/>
      <c r="E168" s="34" t="n"/>
      <c r="F168" s="34" t="n"/>
      <c r="G168" s="69" t="n"/>
      <c r="H168" s="36" t="n"/>
      <c r="I168" s="34" t="n"/>
      <c r="J168" s="34" t="n"/>
      <c r="K168" s="69" t="n"/>
      <c r="L168" s="36" t="n"/>
      <c r="M168" s="34" t="n"/>
      <c r="N168" s="75" t="n"/>
      <c r="O168" s="37" t="n"/>
      <c r="P168" s="37" t="n"/>
      <c r="Q168" s="37" t="n"/>
      <c r="R168" s="76" t="n"/>
      <c r="S168" s="77" t="n"/>
      <c r="T168" s="77" t="n"/>
      <c r="U168" s="77" t="n"/>
      <c r="V168" s="77" t="n"/>
      <c r="W168" s="34" t="n"/>
      <c r="X168" s="78" t="n"/>
      <c r="Y168" s="46" t="n"/>
      <c r="Z168" s="71">
        <f>IF($A168="","",SUM($S168:$U168))</f>
        <v/>
      </c>
      <c r="AA168" s="72">
        <f>IF($A168="","",IFERROR($Z168/$P168,0))</f>
        <v/>
      </c>
      <c r="AB168" s="41">
        <f>IF($A168="","",SUM($O168:$Q168))</f>
        <v/>
      </c>
      <c r="AC168" s="41">
        <f>IF($A168="","",IFERROR(INDEX('Planner'!$N$6:$N$205,MATCH($B168,'Planner'!$A$6:$A$205,0)),0))</f>
        <v/>
      </c>
      <c r="AD168" s="41">
        <f>IF($A168="","",$AC168-$O168-$Q168)</f>
        <v/>
      </c>
      <c r="AE168" s="41">
        <f>IF($A168="","",$AB168-$AC168)</f>
        <v/>
      </c>
      <c r="AF168" s="73">
        <f>IF($A168="","",IFERROR($AB168/'Settings'!$B$5,0))</f>
        <v/>
      </c>
      <c r="AG168" s="71">
        <f>IF($A168="","",$AF168*'Settings'!$B$4)</f>
        <v/>
      </c>
      <c r="AH168" s="71">
        <f>IF($A168="","",$AE168*'Settings'!$B$17)</f>
        <v/>
      </c>
      <c r="AI168" s="71">
        <f>IF($A168="","",$R168*'Settings'!$B$7)</f>
        <v/>
      </c>
      <c r="AJ168" s="71">
        <f>IF($A168="","",$Z168-$V168-$AH168-$AI168)</f>
        <v/>
      </c>
      <c r="AK168" s="72">
        <f>IF($A168="","",IFERROR($AJ168/$AB168,0))</f>
        <v/>
      </c>
      <c r="AL168" s="38">
        <f>IF($A168="","",IF(OR($C168="Passed",$C168="Expired",$C168="Canceled"),$C168,IF($C168="Completed","Completed",IF(AND($O168&lt;='Settings'!$B$8,$AA168&gt;='Settings'!$B$10,$AJ168&gt;='Settings'!$B$9),IF($C168="Booked","Booked - Meets Targets","Meets Targets"),IF($C168="Booked","Booked - Below Target","Review")))))</f>
        <v/>
      </c>
      <c r="AM168" s="38">
        <f>IF($A168="","",IF(COUNTIF($A$6:$A$205,$A168)&gt;1,"Duplicate Load ID",IF(COUNTIF('Planner'!$A$6:$A$205,$B168)=0,"Trip ID not found",IF(($G168+$H168)&gt;($K168+$L168),"Check schedule",IF(MIN($N168,$O168,$P168,$Q168,$R168,$S168,$T168,$U168,$V168)&lt;0,"Negative value","OK")))))</f>
        <v/>
      </c>
    </row>
    <row r="169">
      <c r="A169" s="34" t="n"/>
      <c r="B169" s="34" t="n"/>
      <c r="C169" s="34" t="n"/>
      <c r="D169" s="34" t="n"/>
      <c r="E169" s="34" t="n"/>
      <c r="F169" s="34" t="n"/>
      <c r="G169" s="69" t="n"/>
      <c r="H169" s="36" t="n"/>
      <c r="I169" s="34" t="n"/>
      <c r="J169" s="34" t="n"/>
      <c r="K169" s="69" t="n"/>
      <c r="L169" s="36" t="n"/>
      <c r="M169" s="34" t="n"/>
      <c r="N169" s="75" t="n"/>
      <c r="O169" s="37" t="n"/>
      <c r="P169" s="37" t="n"/>
      <c r="Q169" s="37" t="n"/>
      <c r="R169" s="76" t="n"/>
      <c r="S169" s="77" t="n"/>
      <c r="T169" s="77" t="n"/>
      <c r="U169" s="77" t="n"/>
      <c r="V169" s="77" t="n"/>
      <c r="W169" s="34" t="n"/>
      <c r="X169" s="78" t="n"/>
      <c r="Y169" s="46" t="n"/>
      <c r="Z169" s="71">
        <f>IF($A169="","",SUM($S169:$U169))</f>
        <v/>
      </c>
      <c r="AA169" s="72">
        <f>IF($A169="","",IFERROR($Z169/$P169,0))</f>
        <v/>
      </c>
      <c r="AB169" s="41">
        <f>IF($A169="","",SUM($O169:$Q169))</f>
        <v/>
      </c>
      <c r="AC169" s="41">
        <f>IF($A169="","",IFERROR(INDEX('Planner'!$N$6:$N$205,MATCH($B169,'Planner'!$A$6:$A$205,0)),0))</f>
        <v/>
      </c>
      <c r="AD169" s="41">
        <f>IF($A169="","",$AC169-$O169-$Q169)</f>
        <v/>
      </c>
      <c r="AE169" s="41">
        <f>IF($A169="","",$AB169-$AC169)</f>
        <v/>
      </c>
      <c r="AF169" s="73">
        <f>IF($A169="","",IFERROR($AB169/'Settings'!$B$5,0))</f>
        <v/>
      </c>
      <c r="AG169" s="71">
        <f>IF($A169="","",$AF169*'Settings'!$B$4)</f>
        <v/>
      </c>
      <c r="AH169" s="71">
        <f>IF($A169="","",$AE169*'Settings'!$B$17)</f>
        <v/>
      </c>
      <c r="AI169" s="71">
        <f>IF($A169="","",$R169*'Settings'!$B$7)</f>
        <v/>
      </c>
      <c r="AJ169" s="71">
        <f>IF($A169="","",$Z169-$V169-$AH169-$AI169)</f>
        <v/>
      </c>
      <c r="AK169" s="72">
        <f>IF($A169="","",IFERROR($AJ169/$AB169,0))</f>
        <v/>
      </c>
      <c r="AL169" s="38">
        <f>IF($A169="","",IF(OR($C169="Passed",$C169="Expired",$C169="Canceled"),$C169,IF($C169="Completed","Completed",IF(AND($O169&lt;='Settings'!$B$8,$AA169&gt;='Settings'!$B$10,$AJ169&gt;='Settings'!$B$9),IF($C169="Booked","Booked - Meets Targets","Meets Targets"),IF($C169="Booked","Booked - Below Target","Review")))))</f>
        <v/>
      </c>
      <c r="AM169" s="38">
        <f>IF($A169="","",IF(COUNTIF($A$6:$A$205,$A169)&gt;1,"Duplicate Load ID",IF(COUNTIF('Planner'!$A$6:$A$205,$B169)=0,"Trip ID not found",IF(($G169+$H169)&gt;($K169+$L169),"Check schedule",IF(MIN($N169,$O169,$P169,$Q169,$R169,$S169,$T169,$U169,$V169)&lt;0,"Negative value","OK")))))</f>
        <v/>
      </c>
    </row>
    <row r="170">
      <c r="A170" s="34" t="n"/>
      <c r="B170" s="34" t="n"/>
      <c r="C170" s="34" t="n"/>
      <c r="D170" s="34" t="n"/>
      <c r="E170" s="34" t="n"/>
      <c r="F170" s="34" t="n"/>
      <c r="G170" s="69" t="n"/>
      <c r="H170" s="36" t="n"/>
      <c r="I170" s="34" t="n"/>
      <c r="J170" s="34" t="n"/>
      <c r="K170" s="69" t="n"/>
      <c r="L170" s="36" t="n"/>
      <c r="M170" s="34" t="n"/>
      <c r="N170" s="75" t="n"/>
      <c r="O170" s="37" t="n"/>
      <c r="P170" s="37" t="n"/>
      <c r="Q170" s="37" t="n"/>
      <c r="R170" s="76" t="n"/>
      <c r="S170" s="77" t="n"/>
      <c r="T170" s="77" t="n"/>
      <c r="U170" s="77" t="n"/>
      <c r="V170" s="77" t="n"/>
      <c r="W170" s="34" t="n"/>
      <c r="X170" s="78" t="n"/>
      <c r="Y170" s="46" t="n"/>
      <c r="Z170" s="71">
        <f>IF($A170="","",SUM($S170:$U170))</f>
        <v/>
      </c>
      <c r="AA170" s="72">
        <f>IF($A170="","",IFERROR($Z170/$P170,0))</f>
        <v/>
      </c>
      <c r="AB170" s="41">
        <f>IF($A170="","",SUM($O170:$Q170))</f>
        <v/>
      </c>
      <c r="AC170" s="41">
        <f>IF($A170="","",IFERROR(INDEX('Planner'!$N$6:$N$205,MATCH($B170,'Planner'!$A$6:$A$205,0)),0))</f>
        <v/>
      </c>
      <c r="AD170" s="41">
        <f>IF($A170="","",$AC170-$O170-$Q170)</f>
        <v/>
      </c>
      <c r="AE170" s="41">
        <f>IF($A170="","",$AB170-$AC170)</f>
        <v/>
      </c>
      <c r="AF170" s="73">
        <f>IF($A170="","",IFERROR($AB170/'Settings'!$B$5,0))</f>
        <v/>
      </c>
      <c r="AG170" s="71">
        <f>IF($A170="","",$AF170*'Settings'!$B$4)</f>
        <v/>
      </c>
      <c r="AH170" s="71">
        <f>IF($A170="","",$AE170*'Settings'!$B$17)</f>
        <v/>
      </c>
      <c r="AI170" s="71">
        <f>IF($A170="","",$R170*'Settings'!$B$7)</f>
        <v/>
      </c>
      <c r="AJ170" s="71">
        <f>IF($A170="","",$Z170-$V170-$AH170-$AI170)</f>
        <v/>
      </c>
      <c r="AK170" s="72">
        <f>IF($A170="","",IFERROR($AJ170/$AB170,0))</f>
        <v/>
      </c>
      <c r="AL170" s="38">
        <f>IF($A170="","",IF(OR($C170="Passed",$C170="Expired",$C170="Canceled"),$C170,IF($C170="Completed","Completed",IF(AND($O170&lt;='Settings'!$B$8,$AA170&gt;='Settings'!$B$10,$AJ170&gt;='Settings'!$B$9),IF($C170="Booked","Booked - Meets Targets","Meets Targets"),IF($C170="Booked","Booked - Below Target","Review")))))</f>
        <v/>
      </c>
      <c r="AM170" s="38">
        <f>IF($A170="","",IF(COUNTIF($A$6:$A$205,$A170)&gt;1,"Duplicate Load ID",IF(COUNTIF('Planner'!$A$6:$A$205,$B170)=0,"Trip ID not found",IF(($G170+$H170)&gt;($K170+$L170),"Check schedule",IF(MIN($N170,$O170,$P170,$Q170,$R170,$S170,$T170,$U170,$V170)&lt;0,"Negative value","OK")))))</f>
        <v/>
      </c>
    </row>
    <row r="171">
      <c r="A171" s="34" t="n"/>
      <c r="B171" s="34" t="n"/>
      <c r="C171" s="34" t="n"/>
      <c r="D171" s="34" t="n"/>
      <c r="E171" s="34" t="n"/>
      <c r="F171" s="34" t="n"/>
      <c r="G171" s="69" t="n"/>
      <c r="H171" s="36" t="n"/>
      <c r="I171" s="34" t="n"/>
      <c r="J171" s="34" t="n"/>
      <c r="K171" s="69" t="n"/>
      <c r="L171" s="36" t="n"/>
      <c r="M171" s="34" t="n"/>
      <c r="N171" s="75" t="n"/>
      <c r="O171" s="37" t="n"/>
      <c r="P171" s="37" t="n"/>
      <c r="Q171" s="37" t="n"/>
      <c r="R171" s="76" t="n"/>
      <c r="S171" s="77" t="n"/>
      <c r="T171" s="77" t="n"/>
      <c r="U171" s="77" t="n"/>
      <c r="V171" s="77" t="n"/>
      <c r="W171" s="34" t="n"/>
      <c r="X171" s="78" t="n"/>
      <c r="Y171" s="46" t="n"/>
      <c r="Z171" s="71">
        <f>IF($A171="","",SUM($S171:$U171))</f>
        <v/>
      </c>
      <c r="AA171" s="72">
        <f>IF($A171="","",IFERROR($Z171/$P171,0))</f>
        <v/>
      </c>
      <c r="AB171" s="41">
        <f>IF($A171="","",SUM($O171:$Q171))</f>
        <v/>
      </c>
      <c r="AC171" s="41">
        <f>IF($A171="","",IFERROR(INDEX('Planner'!$N$6:$N$205,MATCH($B171,'Planner'!$A$6:$A$205,0)),0))</f>
        <v/>
      </c>
      <c r="AD171" s="41">
        <f>IF($A171="","",$AC171-$O171-$Q171)</f>
        <v/>
      </c>
      <c r="AE171" s="41">
        <f>IF($A171="","",$AB171-$AC171)</f>
        <v/>
      </c>
      <c r="AF171" s="73">
        <f>IF($A171="","",IFERROR($AB171/'Settings'!$B$5,0))</f>
        <v/>
      </c>
      <c r="AG171" s="71">
        <f>IF($A171="","",$AF171*'Settings'!$B$4)</f>
        <v/>
      </c>
      <c r="AH171" s="71">
        <f>IF($A171="","",$AE171*'Settings'!$B$17)</f>
        <v/>
      </c>
      <c r="AI171" s="71">
        <f>IF($A171="","",$R171*'Settings'!$B$7)</f>
        <v/>
      </c>
      <c r="AJ171" s="71">
        <f>IF($A171="","",$Z171-$V171-$AH171-$AI171)</f>
        <v/>
      </c>
      <c r="AK171" s="72">
        <f>IF($A171="","",IFERROR($AJ171/$AB171,0))</f>
        <v/>
      </c>
      <c r="AL171" s="38">
        <f>IF($A171="","",IF(OR($C171="Passed",$C171="Expired",$C171="Canceled"),$C171,IF($C171="Completed","Completed",IF(AND($O171&lt;='Settings'!$B$8,$AA171&gt;='Settings'!$B$10,$AJ171&gt;='Settings'!$B$9),IF($C171="Booked","Booked - Meets Targets","Meets Targets"),IF($C171="Booked","Booked - Below Target","Review")))))</f>
        <v/>
      </c>
      <c r="AM171" s="38">
        <f>IF($A171="","",IF(COUNTIF($A$6:$A$205,$A171)&gt;1,"Duplicate Load ID",IF(COUNTIF('Planner'!$A$6:$A$205,$B171)=0,"Trip ID not found",IF(($G171+$H171)&gt;($K171+$L171),"Check schedule",IF(MIN($N171,$O171,$P171,$Q171,$R171,$S171,$T171,$U171,$V171)&lt;0,"Negative value","OK")))))</f>
        <v/>
      </c>
    </row>
    <row r="172">
      <c r="A172" s="34" t="n"/>
      <c r="B172" s="34" t="n"/>
      <c r="C172" s="34" t="n"/>
      <c r="D172" s="34" t="n"/>
      <c r="E172" s="34" t="n"/>
      <c r="F172" s="34" t="n"/>
      <c r="G172" s="69" t="n"/>
      <c r="H172" s="36" t="n"/>
      <c r="I172" s="34" t="n"/>
      <c r="J172" s="34" t="n"/>
      <c r="K172" s="69" t="n"/>
      <c r="L172" s="36" t="n"/>
      <c r="M172" s="34" t="n"/>
      <c r="N172" s="75" t="n"/>
      <c r="O172" s="37" t="n"/>
      <c r="P172" s="37" t="n"/>
      <c r="Q172" s="37" t="n"/>
      <c r="R172" s="76" t="n"/>
      <c r="S172" s="77" t="n"/>
      <c r="T172" s="77" t="n"/>
      <c r="U172" s="77" t="n"/>
      <c r="V172" s="77" t="n"/>
      <c r="W172" s="34" t="n"/>
      <c r="X172" s="78" t="n"/>
      <c r="Y172" s="46" t="n"/>
      <c r="Z172" s="71">
        <f>IF($A172="","",SUM($S172:$U172))</f>
        <v/>
      </c>
      <c r="AA172" s="72">
        <f>IF($A172="","",IFERROR($Z172/$P172,0))</f>
        <v/>
      </c>
      <c r="AB172" s="41">
        <f>IF($A172="","",SUM($O172:$Q172))</f>
        <v/>
      </c>
      <c r="AC172" s="41">
        <f>IF($A172="","",IFERROR(INDEX('Planner'!$N$6:$N$205,MATCH($B172,'Planner'!$A$6:$A$205,0)),0))</f>
        <v/>
      </c>
      <c r="AD172" s="41">
        <f>IF($A172="","",$AC172-$O172-$Q172)</f>
        <v/>
      </c>
      <c r="AE172" s="41">
        <f>IF($A172="","",$AB172-$AC172)</f>
        <v/>
      </c>
      <c r="AF172" s="73">
        <f>IF($A172="","",IFERROR($AB172/'Settings'!$B$5,0))</f>
        <v/>
      </c>
      <c r="AG172" s="71">
        <f>IF($A172="","",$AF172*'Settings'!$B$4)</f>
        <v/>
      </c>
      <c r="AH172" s="71">
        <f>IF($A172="","",$AE172*'Settings'!$B$17)</f>
        <v/>
      </c>
      <c r="AI172" s="71">
        <f>IF($A172="","",$R172*'Settings'!$B$7)</f>
        <v/>
      </c>
      <c r="AJ172" s="71">
        <f>IF($A172="","",$Z172-$V172-$AH172-$AI172)</f>
        <v/>
      </c>
      <c r="AK172" s="72">
        <f>IF($A172="","",IFERROR($AJ172/$AB172,0))</f>
        <v/>
      </c>
      <c r="AL172" s="38">
        <f>IF($A172="","",IF(OR($C172="Passed",$C172="Expired",$C172="Canceled"),$C172,IF($C172="Completed","Completed",IF(AND($O172&lt;='Settings'!$B$8,$AA172&gt;='Settings'!$B$10,$AJ172&gt;='Settings'!$B$9),IF($C172="Booked","Booked - Meets Targets","Meets Targets"),IF($C172="Booked","Booked - Below Target","Review")))))</f>
        <v/>
      </c>
      <c r="AM172" s="38">
        <f>IF($A172="","",IF(COUNTIF($A$6:$A$205,$A172)&gt;1,"Duplicate Load ID",IF(COUNTIF('Planner'!$A$6:$A$205,$B172)=0,"Trip ID not found",IF(($G172+$H172)&gt;($K172+$L172),"Check schedule",IF(MIN($N172,$O172,$P172,$Q172,$R172,$S172,$T172,$U172,$V172)&lt;0,"Negative value","OK")))))</f>
        <v/>
      </c>
    </row>
    <row r="173">
      <c r="A173" s="34" t="n"/>
      <c r="B173" s="34" t="n"/>
      <c r="C173" s="34" t="n"/>
      <c r="D173" s="34" t="n"/>
      <c r="E173" s="34" t="n"/>
      <c r="F173" s="34" t="n"/>
      <c r="G173" s="69" t="n"/>
      <c r="H173" s="36" t="n"/>
      <c r="I173" s="34" t="n"/>
      <c r="J173" s="34" t="n"/>
      <c r="K173" s="69" t="n"/>
      <c r="L173" s="36" t="n"/>
      <c r="M173" s="34" t="n"/>
      <c r="N173" s="75" t="n"/>
      <c r="O173" s="37" t="n"/>
      <c r="P173" s="37" t="n"/>
      <c r="Q173" s="37" t="n"/>
      <c r="R173" s="76" t="n"/>
      <c r="S173" s="77" t="n"/>
      <c r="T173" s="77" t="n"/>
      <c r="U173" s="77" t="n"/>
      <c r="V173" s="77" t="n"/>
      <c r="W173" s="34" t="n"/>
      <c r="X173" s="78" t="n"/>
      <c r="Y173" s="46" t="n"/>
      <c r="Z173" s="71">
        <f>IF($A173="","",SUM($S173:$U173))</f>
        <v/>
      </c>
      <c r="AA173" s="72">
        <f>IF($A173="","",IFERROR($Z173/$P173,0))</f>
        <v/>
      </c>
      <c r="AB173" s="41">
        <f>IF($A173="","",SUM($O173:$Q173))</f>
        <v/>
      </c>
      <c r="AC173" s="41">
        <f>IF($A173="","",IFERROR(INDEX('Planner'!$N$6:$N$205,MATCH($B173,'Planner'!$A$6:$A$205,0)),0))</f>
        <v/>
      </c>
      <c r="AD173" s="41">
        <f>IF($A173="","",$AC173-$O173-$Q173)</f>
        <v/>
      </c>
      <c r="AE173" s="41">
        <f>IF($A173="","",$AB173-$AC173)</f>
        <v/>
      </c>
      <c r="AF173" s="73">
        <f>IF($A173="","",IFERROR($AB173/'Settings'!$B$5,0))</f>
        <v/>
      </c>
      <c r="AG173" s="71">
        <f>IF($A173="","",$AF173*'Settings'!$B$4)</f>
        <v/>
      </c>
      <c r="AH173" s="71">
        <f>IF($A173="","",$AE173*'Settings'!$B$17)</f>
        <v/>
      </c>
      <c r="AI173" s="71">
        <f>IF($A173="","",$R173*'Settings'!$B$7)</f>
        <v/>
      </c>
      <c r="AJ173" s="71">
        <f>IF($A173="","",$Z173-$V173-$AH173-$AI173)</f>
        <v/>
      </c>
      <c r="AK173" s="72">
        <f>IF($A173="","",IFERROR($AJ173/$AB173,0))</f>
        <v/>
      </c>
      <c r="AL173" s="38">
        <f>IF($A173="","",IF(OR($C173="Passed",$C173="Expired",$C173="Canceled"),$C173,IF($C173="Completed","Completed",IF(AND($O173&lt;='Settings'!$B$8,$AA173&gt;='Settings'!$B$10,$AJ173&gt;='Settings'!$B$9),IF($C173="Booked","Booked - Meets Targets","Meets Targets"),IF($C173="Booked","Booked - Below Target","Review")))))</f>
        <v/>
      </c>
      <c r="AM173" s="38">
        <f>IF($A173="","",IF(COUNTIF($A$6:$A$205,$A173)&gt;1,"Duplicate Load ID",IF(COUNTIF('Planner'!$A$6:$A$205,$B173)=0,"Trip ID not found",IF(($G173+$H173)&gt;($K173+$L173),"Check schedule",IF(MIN($N173,$O173,$P173,$Q173,$R173,$S173,$T173,$U173,$V173)&lt;0,"Negative value","OK")))))</f>
        <v/>
      </c>
    </row>
    <row r="174">
      <c r="A174" s="34" t="n"/>
      <c r="B174" s="34" t="n"/>
      <c r="C174" s="34" t="n"/>
      <c r="D174" s="34" t="n"/>
      <c r="E174" s="34" t="n"/>
      <c r="F174" s="34" t="n"/>
      <c r="G174" s="69" t="n"/>
      <c r="H174" s="36" t="n"/>
      <c r="I174" s="34" t="n"/>
      <c r="J174" s="34" t="n"/>
      <c r="K174" s="69" t="n"/>
      <c r="L174" s="36" t="n"/>
      <c r="M174" s="34" t="n"/>
      <c r="N174" s="75" t="n"/>
      <c r="O174" s="37" t="n"/>
      <c r="P174" s="37" t="n"/>
      <c r="Q174" s="37" t="n"/>
      <c r="R174" s="76" t="n"/>
      <c r="S174" s="77" t="n"/>
      <c r="T174" s="77" t="n"/>
      <c r="U174" s="77" t="n"/>
      <c r="V174" s="77" t="n"/>
      <c r="W174" s="34" t="n"/>
      <c r="X174" s="78" t="n"/>
      <c r="Y174" s="46" t="n"/>
      <c r="Z174" s="71">
        <f>IF($A174="","",SUM($S174:$U174))</f>
        <v/>
      </c>
      <c r="AA174" s="72">
        <f>IF($A174="","",IFERROR($Z174/$P174,0))</f>
        <v/>
      </c>
      <c r="AB174" s="41">
        <f>IF($A174="","",SUM($O174:$Q174))</f>
        <v/>
      </c>
      <c r="AC174" s="41">
        <f>IF($A174="","",IFERROR(INDEX('Planner'!$N$6:$N$205,MATCH($B174,'Planner'!$A$6:$A$205,0)),0))</f>
        <v/>
      </c>
      <c r="AD174" s="41">
        <f>IF($A174="","",$AC174-$O174-$Q174)</f>
        <v/>
      </c>
      <c r="AE174" s="41">
        <f>IF($A174="","",$AB174-$AC174)</f>
        <v/>
      </c>
      <c r="AF174" s="73">
        <f>IF($A174="","",IFERROR($AB174/'Settings'!$B$5,0))</f>
        <v/>
      </c>
      <c r="AG174" s="71">
        <f>IF($A174="","",$AF174*'Settings'!$B$4)</f>
        <v/>
      </c>
      <c r="AH174" s="71">
        <f>IF($A174="","",$AE174*'Settings'!$B$17)</f>
        <v/>
      </c>
      <c r="AI174" s="71">
        <f>IF($A174="","",$R174*'Settings'!$B$7)</f>
        <v/>
      </c>
      <c r="AJ174" s="71">
        <f>IF($A174="","",$Z174-$V174-$AH174-$AI174)</f>
        <v/>
      </c>
      <c r="AK174" s="72">
        <f>IF($A174="","",IFERROR($AJ174/$AB174,0))</f>
        <v/>
      </c>
      <c r="AL174" s="38">
        <f>IF($A174="","",IF(OR($C174="Passed",$C174="Expired",$C174="Canceled"),$C174,IF($C174="Completed","Completed",IF(AND($O174&lt;='Settings'!$B$8,$AA174&gt;='Settings'!$B$10,$AJ174&gt;='Settings'!$B$9),IF($C174="Booked","Booked - Meets Targets","Meets Targets"),IF($C174="Booked","Booked - Below Target","Review")))))</f>
        <v/>
      </c>
      <c r="AM174" s="38">
        <f>IF($A174="","",IF(COUNTIF($A$6:$A$205,$A174)&gt;1,"Duplicate Load ID",IF(COUNTIF('Planner'!$A$6:$A$205,$B174)=0,"Trip ID not found",IF(($G174+$H174)&gt;($K174+$L174),"Check schedule",IF(MIN($N174,$O174,$P174,$Q174,$R174,$S174,$T174,$U174,$V174)&lt;0,"Negative value","OK")))))</f>
        <v/>
      </c>
    </row>
    <row r="175">
      <c r="A175" s="34" t="n"/>
      <c r="B175" s="34" t="n"/>
      <c r="C175" s="34" t="n"/>
      <c r="D175" s="34" t="n"/>
      <c r="E175" s="34" t="n"/>
      <c r="F175" s="34" t="n"/>
      <c r="G175" s="69" t="n"/>
      <c r="H175" s="36" t="n"/>
      <c r="I175" s="34" t="n"/>
      <c r="J175" s="34" t="n"/>
      <c r="K175" s="69" t="n"/>
      <c r="L175" s="36" t="n"/>
      <c r="M175" s="34" t="n"/>
      <c r="N175" s="75" t="n"/>
      <c r="O175" s="37" t="n"/>
      <c r="P175" s="37" t="n"/>
      <c r="Q175" s="37" t="n"/>
      <c r="R175" s="76" t="n"/>
      <c r="S175" s="77" t="n"/>
      <c r="T175" s="77" t="n"/>
      <c r="U175" s="77" t="n"/>
      <c r="V175" s="77" t="n"/>
      <c r="W175" s="34" t="n"/>
      <c r="X175" s="78" t="n"/>
      <c r="Y175" s="46" t="n"/>
      <c r="Z175" s="71">
        <f>IF($A175="","",SUM($S175:$U175))</f>
        <v/>
      </c>
      <c r="AA175" s="72">
        <f>IF($A175="","",IFERROR($Z175/$P175,0))</f>
        <v/>
      </c>
      <c r="AB175" s="41">
        <f>IF($A175="","",SUM($O175:$Q175))</f>
        <v/>
      </c>
      <c r="AC175" s="41">
        <f>IF($A175="","",IFERROR(INDEX('Planner'!$N$6:$N$205,MATCH($B175,'Planner'!$A$6:$A$205,0)),0))</f>
        <v/>
      </c>
      <c r="AD175" s="41">
        <f>IF($A175="","",$AC175-$O175-$Q175)</f>
        <v/>
      </c>
      <c r="AE175" s="41">
        <f>IF($A175="","",$AB175-$AC175)</f>
        <v/>
      </c>
      <c r="AF175" s="73">
        <f>IF($A175="","",IFERROR($AB175/'Settings'!$B$5,0))</f>
        <v/>
      </c>
      <c r="AG175" s="71">
        <f>IF($A175="","",$AF175*'Settings'!$B$4)</f>
        <v/>
      </c>
      <c r="AH175" s="71">
        <f>IF($A175="","",$AE175*'Settings'!$B$17)</f>
        <v/>
      </c>
      <c r="AI175" s="71">
        <f>IF($A175="","",$R175*'Settings'!$B$7)</f>
        <v/>
      </c>
      <c r="AJ175" s="71">
        <f>IF($A175="","",$Z175-$V175-$AH175-$AI175)</f>
        <v/>
      </c>
      <c r="AK175" s="72">
        <f>IF($A175="","",IFERROR($AJ175/$AB175,0))</f>
        <v/>
      </c>
      <c r="AL175" s="38">
        <f>IF($A175="","",IF(OR($C175="Passed",$C175="Expired",$C175="Canceled"),$C175,IF($C175="Completed","Completed",IF(AND($O175&lt;='Settings'!$B$8,$AA175&gt;='Settings'!$B$10,$AJ175&gt;='Settings'!$B$9),IF($C175="Booked","Booked - Meets Targets","Meets Targets"),IF($C175="Booked","Booked - Below Target","Review")))))</f>
        <v/>
      </c>
      <c r="AM175" s="38">
        <f>IF($A175="","",IF(COUNTIF($A$6:$A$205,$A175)&gt;1,"Duplicate Load ID",IF(COUNTIF('Planner'!$A$6:$A$205,$B175)=0,"Trip ID not found",IF(($G175+$H175)&gt;($K175+$L175),"Check schedule",IF(MIN($N175,$O175,$P175,$Q175,$R175,$S175,$T175,$U175,$V175)&lt;0,"Negative value","OK")))))</f>
        <v/>
      </c>
    </row>
    <row r="176">
      <c r="A176" s="34" t="n"/>
      <c r="B176" s="34" t="n"/>
      <c r="C176" s="34" t="n"/>
      <c r="D176" s="34" t="n"/>
      <c r="E176" s="34" t="n"/>
      <c r="F176" s="34" t="n"/>
      <c r="G176" s="69" t="n"/>
      <c r="H176" s="36" t="n"/>
      <c r="I176" s="34" t="n"/>
      <c r="J176" s="34" t="n"/>
      <c r="K176" s="69" t="n"/>
      <c r="L176" s="36" t="n"/>
      <c r="M176" s="34" t="n"/>
      <c r="N176" s="75" t="n"/>
      <c r="O176" s="37" t="n"/>
      <c r="P176" s="37" t="n"/>
      <c r="Q176" s="37" t="n"/>
      <c r="R176" s="76" t="n"/>
      <c r="S176" s="77" t="n"/>
      <c r="T176" s="77" t="n"/>
      <c r="U176" s="77" t="n"/>
      <c r="V176" s="77" t="n"/>
      <c r="W176" s="34" t="n"/>
      <c r="X176" s="78" t="n"/>
      <c r="Y176" s="46" t="n"/>
      <c r="Z176" s="71">
        <f>IF($A176="","",SUM($S176:$U176))</f>
        <v/>
      </c>
      <c r="AA176" s="72">
        <f>IF($A176="","",IFERROR($Z176/$P176,0))</f>
        <v/>
      </c>
      <c r="AB176" s="41">
        <f>IF($A176="","",SUM($O176:$Q176))</f>
        <v/>
      </c>
      <c r="AC176" s="41">
        <f>IF($A176="","",IFERROR(INDEX('Planner'!$N$6:$N$205,MATCH($B176,'Planner'!$A$6:$A$205,0)),0))</f>
        <v/>
      </c>
      <c r="AD176" s="41">
        <f>IF($A176="","",$AC176-$O176-$Q176)</f>
        <v/>
      </c>
      <c r="AE176" s="41">
        <f>IF($A176="","",$AB176-$AC176)</f>
        <v/>
      </c>
      <c r="AF176" s="73">
        <f>IF($A176="","",IFERROR($AB176/'Settings'!$B$5,0))</f>
        <v/>
      </c>
      <c r="AG176" s="71">
        <f>IF($A176="","",$AF176*'Settings'!$B$4)</f>
        <v/>
      </c>
      <c r="AH176" s="71">
        <f>IF($A176="","",$AE176*'Settings'!$B$17)</f>
        <v/>
      </c>
      <c r="AI176" s="71">
        <f>IF($A176="","",$R176*'Settings'!$B$7)</f>
        <v/>
      </c>
      <c r="AJ176" s="71">
        <f>IF($A176="","",$Z176-$V176-$AH176-$AI176)</f>
        <v/>
      </c>
      <c r="AK176" s="72">
        <f>IF($A176="","",IFERROR($AJ176/$AB176,0))</f>
        <v/>
      </c>
      <c r="AL176" s="38">
        <f>IF($A176="","",IF(OR($C176="Passed",$C176="Expired",$C176="Canceled"),$C176,IF($C176="Completed","Completed",IF(AND($O176&lt;='Settings'!$B$8,$AA176&gt;='Settings'!$B$10,$AJ176&gt;='Settings'!$B$9),IF($C176="Booked","Booked - Meets Targets","Meets Targets"),IF($C176="Booked","Booked - Below Target","Review")))))</f>
        <v/>
      </c>
      <c r="AM176" s="38">
        <f>IF($A176="","",IF(COUNTIF($A$6:$A$205,$A176)&gt;1,"Duplicate Load ID",IF(COUNTIF('Planner'!$A$6:$A$205,$B176)=0,"Trip ID not found",IF(($G176+$H176)&gt;($K176+$L176),"Check schedule",IF(MIN($N176,$O176,$P176,$Q176,$R176,$S176,$T176,$U176,$V176)&lt;0,"Negative value","OK")))))</f>
        <v/>
      </c>
    </row>
    <row r="177">
      <c r="A177" s="34" t="n"/>
      <c r="B177" s="34" t="n"/>
      <c r="C177" s="34" t="n"/>
      <c r="D177" s="34" t="n"/>
      <c r="E177" s="34" t="n"/>
      <c r="F177" s="34" t="n"/>
      <c r="G177" s="69" t="n"/>
      <c r="H177" s="36" t="n"/>
      <c r="I177" s="34" t="n"/>
      <c r="J177" s="34" t="n"/>
      <c r="K177" s="69" t="n"/>
      <c r="L177" s="36" t="n"/>
      <c r="M177" s="34" t="n"/>
      <c r="N177" s="75" t="n"/>
      <c r="O177" s="37" t="n"/>
      <c r="P177" s="37" t="n"/>
      <c r="Q177" s="37" t="n"/>
      <c r="R177" s="76" t="n"/>
      <c r="S177" s="77" t="n"/>
      <c r="T177" s="77" t="n"/>
      <c r="U177" s="77" t="n"/>
      <c r="V177" s="77" t="n"/>
      <c r="W177" s="34" t="n"/>
      <c r="X177" s="78" t="n"/>
      <c r="Y177" s="46" t="n"/>
      <c r="Z177" s="71">
        <f>IF($A177="","",SUM($S177:$U177))</f>
        <v/>
      </c>
      <c r="AA177" s="72">
        <f>IF($A177="","",IFERROR($Z177/$P177,0))</f>
        <v/>
      </c>
      <c r="AB177" s="41">
        <f>IF($A177="","",SUM($O177:$Q177))</f>
        <v/>
      </c>
      <c r="AC177" s="41">
        <f>IF($A177="","",IFERROR(INDEX('Planner'!$N$6:$N$205,MATCH($B177,'Planner'!$A$6:$A$205,0)),0))</f>
        <v/>
      </c>
      <c r="AD177" s="41">
        <f>IF($A177="","",$AC177-$O177-$Q177)</f>
        <v/>
      </c>
      <c r="AE177" s="41">
        <f>IF($A177="","",$AB177-$AC177)</f>
        <v/>
      </c>
      <c r="AF177" s="73">
        <f>IF($A177="","",IFERROR($AB177/'Settings'!$B$5,0))</f>
        <v/>
      </c>
      <c r="AG177" s="71">
        <f>IF($A177="","",$AF177*'Settings'!$B$4)</f>
        <v/>
      </c>
      <c r="AH177" s="71">
        <f>IF($A177="","",$AE177*'Settings'!$B$17)</f>
        <v/>
      </c>
      <c r="AI177" s="71">
        <f>IF($A177="","",$R177*'Settings'!$B$7)</f>
        <v/>
      </c>
      <c r="AJ177" s="71">
        <f>IF($A177="","",$Z177-$V177-$AH177-$AI177)</f>
        <v/>
      </c>
      <c r="AK177" s="72">
        <f>IF($A177="","",IFERROR($AJ177/$AB177,0))</f>
        <v/>
      </c>
      <c r="AL177" s="38">
        <f>IF($A177="","",IF(OR($C177="Passed",$C177="Expired",$C177="Canceled"),$C177,IF($C177="Completed","Completed",IF(AND($O177&lt;='Settings'!$B$8,$AA177&gt;='Settings'!$B$10,$AJ177&gt;='Settings'!$B$9),IF($C177="Booked","Booked - Meets Targets","Meets Targets"),IF($C177="Booked","Booked - Below Target","Review")))))</f>
        <v/>
      </c>
      <c r="AM177" s="38">
        <f>IF($A177="","",IF(COUNTIF($A$6:$A$205,$A177)&gt;1,"Duplicate Load ID",IF(COUNTIF('Planner'!$A$6:$A$205,$B177)=0,"Trip ID not found",IF(($G177+$H177)&gt;($K177+$L177),"Check schedule",IF(MIN($N177,$O177,$P177,$Q177,$R177,$S177,$T177,$U177,$V177)&lt;0,"Negative value","OK")))))</f>
        <v/>
      </c>
    </row>
    <row r="178">
      <c r="A178" s="34" t="n"/>
      <c r="B178" s="34" t="n"/>
      <c r="C178" s="34" t="n"/>
      <c r="D178" s="34" t="n"/>
      <c r="E178" s="34" t="n"/>
      <c r="F178" s="34" t="n"/>
      <c r="G178" s="69" t="n"/>
      <c r="H178" s="36" t="n"/>
      <c r="I178" s="34" t="n"/>
      <c r="J178" s="34" t="n"/>
      <c r="K178" s="69" t="n"/>
      <c r="L178" s="36" t="n"/>
      <c r="M178" s="34" t="n"/>
      <c r="N178" s="75" t="n"/>
      <c r="O178" s="37" t="n"/>
      <c r="P178" s="37" t="n"/>
      <c r="Q178" s="37" t="n"/>
      <c r="R178" s="76" t="n"/>
      <c r="S178" s="77" t="n"/>
      <c r="T178" s="77" t="n"/>
      <c r="U178" s="77" t="n"/>
      <c r="V178" s="77" t="n"/>
      <c r="W178" s="34" t="n"/>
      <c r="X178" s="78" t="n"/>
      <c r="Y178" s="46" t="n"/>
      <c r="Z178" s="71">
        <f>IF($A178="","",SUM($S178:$U178))</f>
        <v/>
      </c>
      <c r="AA178" s="72">
        <f>IF($A178="","",IFERROR($Z178/$P178,0))</f>
        <v/>
      </c>
      <c r="AB178" s="41">
        <f>IF($A178="","",SUM($O178:$Q178))</f>
        <v/>
      </c>
      <c r="AC178" s="41">
        <f>IF($A178="","",IFERROR(INDEX('Planner'!$N$6:$N$205,MATCH($B178,'Planner'!$A$6:$A$205,0)),0))</f>
        <v/>
      </c>
      <c r="AD178" s="41">
        <f>IF($A178="","",$AC178-$O178-$Q178)</f>
        <v/>
      </c>
      <c r="AE178" s="41">
        <f>IF($A178="","",$AB178-$AC178)</f>
        <v/>
      </c>
      <c r="AF178" s="73">
        <f>IF($A178="","",IFERROR($AB178/'Settings'!$B$5,0))</f>
        <v/>
      </c>
      <c r="AG178" s="71">
        <f>IF($A178="","",$AF178*'Settings'!$B$4)</f>
        <v/>
      </c>
      <c r="AH178" s="71">
        <f>IF($A178="","",$AE178*'Settings'!$B$17)</f>
        <v/>
      </c>
      <c r="AI178" s="71">
        <f>IF($A178="","",$R178*'Settings'!$B$7)</f>
        <v/>
      </c>
      <c r="AJ178" s="71">
        <f>IF($A178="","",$Z178-$V178-$AH178-$AI178)</f>
        <v/>
      </c>
      <c r="AK178" s="72">
        <f>IF($A178="","",IFERROR($AJ178/$AB178,0))</f>
        <v/>
      </c>
      <c r="AL178" s="38">
        <f>IF($A178="","",IF(OR($C178="Passed",$C178="Expired",$C178="Canceled"),$C178,IF($C178="Completed","Completed",IF(AND($O178&lt;='Settings'!$B$8,$AA178&gt;='Settings'!$B$10,$AJ178&gt;='Settings'!$B$9),IF($C178="Booked","Booked - Meets Targets","Meets Targets"),IF($C178="Booked","Booked - Below Target","Review")))))</f>
        <v/>
      </c>
      <c r="AM178" s="38">
        <f>IF($A178="","",IF(COUNTIF($A$6:$A$205,$A178)&gt;1,"Duplicate Load ID",IF(COUNTIF('Planner'!$A$6:$A$205,$B178)=0,"Trip ID not found",IF(($G178+$H178)&gt;($K178+$L178),"Check schedule",IF(MIN($N178,$O178,$P178,$Q178,$R178,$S178,$T178,$U178,$V178)&lt;0,"Negative value","OK")))))</f>
        <v/>
      </c>
    </row>
    <row r="179">
      <c r="A179" s="34" t="n"/>
      <c r="B179" s="34" t="n"/>
      <c r="C179" s="34" t="n"/>
      <c r="D179" s="34" t="n"/>
      <c r="E179" s="34" t="n"/>
      <c r="F179" s="34" t="n"/>
      <c r="G179" s="69" t="n"/>
      <c r="H179" s="36" t="n"/>
      <c r="I179" s="34" t="n"/>
      <c r="J179" s="34" t="n"/>
      <c r="K179" s="69" t="n"/>
      <c r="L179" s="36" t="n"/>
      <c r="M179" s="34" t="n"/>
      <c r="N179" s="75" t="n"/>
      <c r="O179" s="37" t="n"/>
      <c r="P179" s="37" t="n"/>
      <c r="Q179" s="37" t="n"/>
      <c r="R179" s="76" t="n"/>
      <c r="S179" s="77" t="n"/>
      <c r="T179" s="77" t="n"/>
      <c r="U179" s="77" t="n"/>
      <c r="V179" s="77" t="n"/>
      <c r="W179" s="34" t="n"/>
      <c r="X179" s="78" t="n"/>
      <c r="Y179" s="46" t="n"/>
      <c r="Z179" s="71">
        <f>IF($A179="","",SUM($S179:$U179))</f>
        <v/>
      </c>
      <c r="AA179" s="72">
        <f>IF($A179="","",IFERROR($Z179/$P179,0))</f>
        <v/>
      </c>
      <c r="AB179" s="41">
        <f>IF($A179="","",SUM($O179:$Q179))</f>
        <v/>
      </c>
      <c r="AC179" s="41">
        <f>IF($A179="","",IFERROR(INDEX('Planner'!$N$6:$N$205,MATCH($B179,'Planner'!$A$6:$A$205,0)),0))</f>
        <v/>
      </c>
      <c r="AD179" s="41">
        <f>IF($A179="","",$AC179-$O179-$Q179)</f>
        <v/>
      </c>
      <c r="AE179" s="41">
        <f>IF($A179="","",$AB179-$AC179)</f>
        <v/>
      </c>
      <c r="AF179" s="73">
        <f>IF($A179="","",IFERROR($AB179/'Settings'!$B$5,0))</f>
        <v/>
      </c>
      <c r="AG179" s="71">
        <f>IF($A179="","",$AF179*'Settings'!$B$4)</f>
        <v/>
      </c>
      <c r="AH179" s="71">
        <f>IF($A179="","",$AE179*'Settings'!$B$17)</f>
        <v/>
      </c>
      <c r="AI179" s="71">
        <f>IF($A179="","",$R179*'Settings'!$B$7)</f>
        <v/>
      </c>
      <c r="AJ179" s="71">
        <f>IF($A179="","",$Z179-$V179-$AH179-$AI179)</f>
        <v/>
      </c>
      <c r="AK179" s="72">
        <f>IF($A179="","",IFERROR($AJ179/$AB179,0))</f>
        <v/>
      </c>
      <c r="AL179" s="38">
        <f>IF($A179="","",IF(OR($C179="Passed",$C179="Expired",$C179="Canceled"),$C179,IF($C179="Completed","Completed",IF(AND($O179&lt;='Settings'!$B$8,$AA179&gt;='Settings'!$B$10,$AJ179&gt;='Settings'!$B$9),IF($C179="Booked","Booked - Meets Targets","Meets Targets"),IF($C179="Booked","Booked - Below Target","Review")))))</f>
        <v/>
      </c>
      <c r="AM179" s="38">
        <f>IF($A179="","",IF(COUNTIF($A$6:$A$205,$A179)&gt;1,"Duplicate Load ID",IF(COUNTIF('Planner'!$A$6:$A$205,$B179)=0,"Trip ID not found",IF(($G179+$H179)&gt;($K179+$L179),"Check schedule",IF(MIN($N179,$O179,$P179,$Q179,$R179,$S179,$T179,$U179,$V179)&lt;0,"Negative value","OK")))))</f>
        <v/>
      </c>
    </row>
    <row r="180">
      <c r="A180" s="34" t="n"/>
      <c r="B180" s="34" t="n"/>
      <c r="C180" s="34" t="n"/>
      <c r="D180" s="34" t="n"/>
      <c r="E180" s="34" t="n"/>
      <c r="F180" s="34" t="n"/>
      <c r="G180" s="69" t="n"/>
      <c r="H180" s="36" t="n"/>
      <c r="I180" s="34" t="n"/>
      <c r="J180" s="34" t="n"/>
      <c r="K180" s="69" t="n"/>
      <c r="L180" s="36" t="n"/>
      <c r="M180" s="34" t="n"/>
      <c r="N180" s="75" t="n"/>
      <c r="O180" s="37" t="n"/>
      <c r="P180" s="37" t="n"/>
      <c r="Q180" s="37" t="n"/>
      <c r="R180" s="76" t="n"/>
      <c r="S180" s="77" t="n"/>
      <c r="T180" s="77" t="n"/>
      <c r="U180" s="77" t="n"/>
      <c r="V180" s="77" t="n"/>
      <c r="W180" s="34" t="n"/>
      <c r="X180" s="78" t="n"/>
      <c r="Y180" s="46" t="n"/>
      <c r="Z180" s="71">
        <f>IF($A180="","",SUM($S180:$U180))</f>
        <v/>
      </c>
      <c r="AA180" s="72">
        <f>IF($A180="","",IFERROR($Z180/$P180,0))</f>
        <v/>
      </c>
      <c r="AB180" s="41">
        <f>IF($A180="","",SUM($O180:$Q180))</f>
        <v/>
      </c>
      <c r="AC180" s="41">
        <f>IF($A180="","",IFERROR(INDEX('Planner'!$N$6:$N$205,MATCH($B180,'Planner'!$A$6:$A$205,0)),0))</f>
        <v/>
      </c>
      <c r="AD180" s="41">
        <f>IF($A180="","",$AC180-$O180-$Q180)</f>
        <v/>
      </c>
      <c r="AE180" s="41">
        <f>IF($A180="","",$AB180-$AC180)</f>
        <v/>
      </c>
      <c r="AF180" s="73">
        <f>IF($A180="","",IFERROR($AB180/'Settings'!$B$5,0))</f>
        <v/>
      </c>
      <c r="AG180" s="71">
        <f>IF($A180="","",$AF180*'Settings'!$B$4)</f>
        <v/>
      </c>
      <c r="AH180" s="71">
        <f>IF($A180="","",$AE180*'Settings'!$B$17)</f>
        <v/>
      </c>
      <c r="AI180" s="71">
        <f>IF($A180="","",$R180*'Settings'!$B$7)</f>
        <v/>
      </c>
      <c r="AJ180" s="71">
        <f>IF($A180="","",$Z180-$V180-$AH180-$AI180)</f>
        <v/>
      </c>
      <c r="AK180" s="72">
        <f>IF($A180="","",IFERROR($AJ180/$AB180,0))</f>
        <v/>
      </c>
      <c r="AL180" s="38">
        <f>IF($A180="","",IF(OR($C180="Passed",$C180="Expired",$C180="Canceled"),$C180,IF($C180="Completed","Completed",IF(AND($O180&lt;='Settings'!$B$8,$AA180&gt;='Settings'!$B$10,$AJ180&gt;='Settings'!$B$9),IF($C180="Booked","Booked - Meets Targets","Meets Targets"),IF($C180="Booked","Booked - Below Target","Review")))))</f>
        <v/>
      </c>
      <c r="AM180" s="38">
        <f>IF($A180="","",IF(COUNTIF($A$6:$A$205,$A180)&gt;1,"Duplicate Load ID",IF(COUNTIF('Planner'!$A$6:$A$205,$B180)=0,"Trip ID not found",IF(($G180+$H180)&gt;($K180+$L180),"Check schedule",IF(MIN($N180,$O180,$P180,$Q180,$R180,$S180,$T180,$U180,$V180)&lt;0,"Negative value","OK")))))</f>
        <v/>
      </c>
    </row>
    <row r="181">
      <c r="A181" s="34" t="n"/>
      <c r="B181" s="34" t="n"/>
      <c r="C181" s="34" t="n"/>
      <c r="D181" s="34" t="n"/>
      <c r="E181" s="34" t="n"/>
      <c r="F181" s="34" t="n"/>
      <c r="G181" s="69" t="n"/>
      <c r="H181" s="36" t="n"/>
      <c r="I181" s="34" t="n"/>
      <c r="J181" s="34" t="n"/>
      <c r="K181" s="69" t="n"/>
      <c r="L181" s="36" t="n"/>
      <c r="M181" s="34" t="n"/>
      <c r="N181" s="75" t="n"/>
      <c r="O181" s="37" t="n"/>
      <c r="P181" s="37" t="n"/>
      <c r="Q181" s="37" t="n"/>
      <c r="R181" s="76" t="n"/>
      <c r="S181" s="77" t="n"/>
      <c r="T181" s="77" t="n"/>
      <c r="U181" s="77" t="n"/>
      <c r="V181" s="77" t="n"/>
      <c r="W181" s="34" t="n"/>
      <c r="X181" s="78" t="n"/>
      <c r="Y181" s="46" t="n"/>
      <c r="Z181" s="71">
        <f>IF($A181="","",SUM($S181:$U181))</f>
        <v/>
      </c>
      <c r="AA181" s="72">
        <f>IF($A181="","",IFERROR($Z181/$P181,0))</f>
        <v/>
      </c>
      <c r="AB181" s="41">
        <f>IF($A181="","",SUM($O181:$Q181))</f>
        <v/>
      </c>
      <c r="AC181" s="41">
        <f>IF($A181="","",IFERROR(INDEX('Planner'!$N$6:$N$205,MATCH($B181,'Planner'!$A$6:$A$205,0)),0))</f>
        <v/>
      </c>
      <c r="AD181" s="41">
        <f>IF($A181="","",$AC181-$O181-$Q181)</f>
        <v/>
      </c>
      <c r="AE181" s="41">
        <f>IF($A181="","",$AB181-$AC181)</f>
        <v/>
      </c>
      <c r="AF181" s="73">
        <f>IF($A181="","",IFERROR($AB181/'Settings'!$B$5,0))</f>
        <v/>
      </c>
      <c r="AG181" s="71">
        <f>IF($A181="","",$AF181*'Settings'!$B$4)</f>
        <v/>
      </c>
      <c r="AH181" s="71">
        <f>IF($A181="","",$AE181*'Settings'!$B$17)</f>
        <v/>
      </c>
      <c r="AI181" s="71">
        <f>IF($A181="","",$R181*'Settings'!$B$7)</f>
        <v/>
      </c>
      <c r="AJ181" s="71">
        <f>IF($A181="","",$Z181-$V181-$AH181-$AI181)</f>
        <v/>
      </c>
      <c r="AK181" s="72">
        <f>IF($A181="","",IFERROR($AJ181/$AB181,0))</f>
        <v/>
      </c>
      <c r="AL181" s="38">
        <f>IF($A181="","",IF(OR($C181="Passed",$C181="Expired",$C181="Canceled"),$C181,IF($C181="Completed","Completed",IF(AND($O181&lt;='Settings'!$B$8,$AA181&gt;='Settings'!$B$10,$AJ181&gt;='Settings'!$B$9),IF($C181="Booked","Booked - Meets Targets","Meets Targets"),IF($C181="Booked","Booked - Below Target","Review")))))</f>
        <v/>
      </c>
      <c r="AM181" s="38">
        <f>IF($A181="","",IF(COUNTIF($A$6:$A$205,$A181)&gt;1,"Duplicate Load ID",IF(COUNTIF('Planner'!$A$6:$A$205,$B181)=0,"Trip ID not found",IF(($G181+$H181)&gt;($K181+$L181),"Check schedule",IF(MIN($N181,$O181,$P181,$Q181,$R181,$S181,$T181,$U181,$V181)&lt;0,"Negative value","OK")))))</f>
        <v/>
      </c>
    </row>
    <row r="182">
      <c r="A182" s="34" t="n"/>
      <c r="B182" s="34" t="n"/>
      <c r="C182" s="34" t="n"/>
      <c r="D182" s="34" t="n"/>
      <c r="E182" s="34" t="n"/>
      <c r="F182" s="34" t="n"/>
      <c r="G182" s="69" t="n"/>
      <c r="H182" s="36" t="n"/>
      <c r="I182" s="34" t="n"/>
      <c r="J182" s="34" t="n"/>
      <c r="K182" s="69" t="n"/>
      <c r="L182" s="36" t="n"/>
      <c r="M182" s="34" t="n"/>
      <c r="N182" s="75" t="n"/>
      <c r="O182" s="37" t="n"/>
      <c r="P182" s="37" t="n"/>
      <c r="Q182" s="37" t="n"/>
      <c r="R182" s="76" t="n"/>
      <c r="S182" s="77" t="n"/>
      <c r="T182" s="77" t="n"/>
      <c r="U182" s="77" t="n"/>
      <c r="V182" s="77" t="n"/>
      <c r="W182" s="34" t="n"/>
      <c r="X182" s="78" t="n"/>
      <c r="Y182" s="46" t="n"/>
      <c r="Z182" s="71">
        <f>IF($A182="","",SUM($S182:$U182))</f>
        <v/>
      </c>
      <c r="AA182" s="72">
        <f>IF($A182="","",IFERROR($Z182/$P182,0))</f>
        <v/>
      </c>
      <c r="AB182" s="41">
        <f>IF($A182="","",SUM($O182:$Q182))</f>
        <v/>
      </c>
      <c r="AC182" s="41">
        <f>IF($A182="","",IFERROR(INDEX('Planner'!$N$6:$N$205,MATCH($B182,'Planner'!$A$6:$A$205,0)),0))</f>
        <v/>
      </c>
      <c r="AD182" s="41">
        <f>IF($A182="","",$AC182-$O182-$Q182)</f>
        <v/>
      </c>
      <c r="AE182" s="41">
        <f>IF($A182="","",$AB182-$AC182)</f>
        <v/>
      </c>
      <c r="AF182" s="73">
        <f>IF($A182="","",IFERROR($AB182/'Settings'!$B$5,0))</f>
        <v/>
      </c>
      <c r="AG182" s="71">
        <f>IF($A182="","",$AF182*'Settings'!$B$4)</f>
        <v/>
      </c>
      <c r="AH182" s="71">
        <f>IF($A182="","",$AE182*'Settings'!$B$17)</f>
        <v/>
      </c>
      <c r="AI182" s="71">
        <f>IF($A182="","",$R182*'Settings'!$B$7)</f>
        <v/>
      </c>
      <c r="AJ182" s="71">
        <f>IF($A182="","",$Z182-$V182-$AH182-$AI182)</f>
        <v/>
      </c>
      <c r="AK182" s="72">
        <f>IF($A182="","",IFERROR($AJ182/$AB182,0))</f>
        <v/>
      </c>
      <c r="AL182" s="38">
        <f>IF($A182="","",IF(OR($C182="Passed",$C182="Expired",$C182="Canceled"),$C182,IF($C182="Completed","Completed",IF(AND($O182&lt;='Settings'!$B$8,$AA182&gt;='Settings'!$B$10,$AJ182&gt;='Settings'!$B$9),IF($C182="Booked","Booked - Meets Targets","Meets Targets"),IF($C182="Booked","Booked - Below Target","Review")))))</f>
        <v/>
      </c>
      <c r="AM182" s="38">
        <f>IF($A182="","",IF(COUNTIF($A$6:$A$205,$A182)&gt;1,"Duplicate Load ID",IF(COUNTIF('Planner'!$A$6:$A$205,$B182)=0,"Trip ID not found",IF(($G182+$H182)&gt;($K182+$L182),"Check schedule",IF(MIN($N182,$O182,$P182,$Q182,$R182,$S182,$T182,$U182,$V182)&lt;0,"Negative value","OK")))))</f>
        <v/>
      </c>
    </row>
    <row r="183">
      <c r="A183" s="34" t="n"/>
      <c r="B183" s="34" t="n"/>
      <c r="C183" s="34" t="n"/>
      <c r="D183" s="34" t="n"/>
      <c r="E183" s="34" t="n"/>
      <c r="F183" s="34" t="n"/>
      <c r="G183" s="69" t="n"/>
      <c r="H183" s="36" t="n"/>
      <c r="I183" s="34" t="n"/>
      <c r="J183" s="34" t="n"/>
      <c r="K183" s="69" t="n"/>
      <c r="L183" s="36" t="n"/>
      <c r="M183" s="34" t="n"/>
      <c r="N183" s="75" t="n"/>
      <c r="O183" s="37" t="n"/>
      <c r="P183" s="37" t="n"/>
      <c r="Q183" s="37" t="n"/>
      <c r="R183" s="76" t="n"/>
      <c r="S183" s="77" t="n"/>
      <c r="T183" s="77" t="n"/>
      <c r="U183" s="77" t="n"/>
      <c r="V183" s="77" t="n"/>
      <c r="W183" s="34" t="n"/>
      <c r="X183" s="78" t="n"/>
      <c r="Y183" s="46" t="n"/>
      <c r="Z183" s="71">
        <f>IF($A183="","",SUM($S183:$U183))</f>
        <v/>
      </c>
      <c r="AA183" s="72">
        <f>IF($A183="","",IFERROR($Z183/$P183,0))</f>
        <v/>
      </c>
      <c r="AB183" s="41">
        <f>IF($A183="","",SUM($O183:$Q183))</f>
        <v/>
      </c>
      <c r="AC183" s="41">
        <f>IF($A183="","",IFERROR(INDEX('Planner'!$N$6:$N$205,MATCH($B183,'Planner'!$A$6:$A$205,0)),0))</f>
        <v/>
      </c>
      <c r="AD183" s="41">
        <f>IF($A183="","",$AC183-$O183-$Q183)</f>
        <v/>
      </c>
      <c r="AE183" s="41">
        <f>IF($A183="","",$AB183-$AC183)</f>
        <v/>
      </c>
      <c r="AF183" s="73">
        <f>IF($A183="","",IFERROR($AB183/'Settings'!$B$5,0))</f>
        <v/>
      </c>
      <c r="AG183" s="71">
        <f>IF($A183="","",$AF183*'Settings'!$B$4)</f>
        <v/>
      </c>
      <c r="AH183" s="71">
        <f>IF($A183="","",$AE183*'Settings'!$B$17)</f>
        <v/>
      </c>
      <c r="AI183" s="71">
        <f>IF($A183="","",$R183*'Settings'!$B$7)</f>
        <v/>
      </c>
      <c r="AJ183" s="71">
        <f>IF($A183="","",$Z183-$V183-$AH183-$AI183)</f>
        <v/>
      </c>
      <c r="AK183" s="72">
        <f>IF($A183="","",IFERROR($AJ183/$AB183,0))</f>
        <v/>
      </c>
      <c r="AL183" s="38">
        <f>IF($A183="","",IF(OR($C183="Passed",$C183="Expired",$C183="Canceled"),$C183,IF($C183="Completed","Completed",IF(AND($O183&lt;='Settings'!$B$8,$AA183&gt;='Settings'!$B$10,$AJ183&gt;='Settings'!$B$9),IF($C183="Booked","Booked - Meets Targets","Meets Targets"),IF($C183="Booked","Booked - Below Target","Review")))))</f>
        <v/>
      </c>
      <c r="AM183" s="38">
        <f>IF($A183="","",IF(COUNTIF($A$6:$A$205,$A183)&gt;1,"Duplicate Load ID",IF(COUNTIF('Planner'!$A$6:$A$205,$B183)=0,"Trip ID not found",IF(($G183+$H183)&gt;($K183+$L183),"Check schedule",IF(MIN($N183,$O183,$P183,$Q183,$R183,$S183,$T183,$U183,$V183)&lt;0,"Negative value","OK")))))</f>
        <v/>
      </c>
    </row>
    <row r="184">
      <c r="A184" s="34" t="n"/>
      <c r="B184" s="34" t="n"/>
      <c r="C184" s="34" t="n"/>
      <c r="D184" s="34" t="n"/>
      <c r="E184" s="34" t="n"/>
      <c r="F184" s="34" t="n"/>
      <c r="G184" s="69" t="n"/>
      <c r="H184" s="36" t="n"/>
      <c r="I184" s="34" t="n"/>
      <c r="J184" s="34" t="n"/>
      <c r="K184" s="69" t="n"/>
      <c r="L184" s="36" t="n"/>
      <c r="M184" s="34" t="n"/>
      <c r="N184" s="75" t="n"/>
      <c r="O184" s="37" t="n"/>
      <c r="P184" s="37" t="n"/>
      <c r="Q184" s="37" t="n"/>
      <c r="R184" s="76" t="n"/>
      <c r="S184" s="77" t="n"/>
      <c r="T184" s="77" t="n"/>
      <c r="U184" s="77" t="n"/>
      <c r="V184" s="77" t="n"/>
      <c r="W184" s="34" t="n"/>
      <c r="X184" s="78" t="n"/>
      <c r="Y184" s="46" t="n"/>
      <c r="Z184" s="71">
        <f>IF($A184="","",SUM($S184:$U184))</f>
        <v/>
      </c>
      <c r="AA184" s="72">
        <f>IF($A184="","",IFERROR($Z184/$P184,0))</f>
        <v/>
      </c>
      <c r="AB184" s="41">
        <f>IF($A184="","",SUM($O184:$Q184))</f>
        <v/>
      </c>
      <c r="AC184" s="41">
        <f>IF($A184="","",IFERROR(INDEX('Planner'!$N$6:$N$205,MATCH($B184,'Planner'!$A$6:$A$205,0)),0))</f>
        <v/>
      </c>
      <c r="AD184" s="41">
        <f>IF($A184="","",$AC184-$O184-$Q184)</f>
        <v/>
      </c>
      <c r="AE184" s="41">
        <f>IF($A184="","",$AB184-$AC184)</f>
        <v/>
      </c>
      <c r="AF184" s="73">
        <f>IF($A184="","",IFERROR($AB184/'Settings'!$B$5,0))</f>
        <v/>
      </c>
      <c r="AG184" s="71">
        <f>IF($A184="","",$AF184*'Settings'!$B$4)</f>
        <v/>
      </c>
      <c r="AH184" s="71">
        <f>IF($A184="","",$AE184*'Settings'!$B$17)</f>
        <v/>
      </c>
      <c r="AI184" s="71">
        <f>IF($A184="","",$R184*'Settings'!$B$7)</f>
        <v/>
      </c>
      <c r="AJ184" s="71">
        <f>IF($A184="","",$Z184-$V184-$AH184-$AI184)</f>
        <v/>
      </c>
      <c r="AK184" s="72">
        <f>IF($A184="","",IFERROR($AJ184/$AB184,0))</f>
        <v/>
      </c>
      <c r="AL184" s="38">
        <f>IF($A184="","",IF(OR($C184="Passed",$C184="Expired",$C184="Canceled"),$C184,IF($C184="Completed","Completed",IF(AND($O184&lt;='Settings'!$B$8,$AA184&gt;='Settings'!$B$10,$AJ184&gt;='Settings'!$B$9),IF($C184="Booked","Booked - Meets Targets","Meets Targets"),IF($C184="Booked","Booked - Below Target","Review")))))</f>
        <v/>
      </c>
      <c r="AM184" s="38">
        <f>IF($A184="","",IF(COUNTIF($A$6:$A$205,$A184)&gt;1,"Duplicate Load ID",IF(COUNTIF('Planner'!$A$6:$A$205,$B184)=0,"Trip ID not found",IF(($G184+$H184)&gt;($K184+$L184),"Check schedule",IF(MIN($N184,$O184,$P184,$Q184,$R184,$S184,$T184,$U184,$V184)&lt;0,"Negative value","OK")))))</f>
        <v/>
      </c>
    </row>
    <row r="185">
      <c r="A185" s="34" t="n"/>
      <c r="B185" s="34" t="n"/>
      <c r="C185" s="34" t="n"/>
      <c r="D185" s="34" t="n"/>
      <c r="E185" s="34" t="n"/>
      <c r="F185" s="34" t="n"/>
      <c r="G185" s="69" t="n"/>
      <c r="H185" s="36" t="n"/>
      <c r="I185" s="34" t="n"/>
      <c r="J185" s="34" t="n"/>
      <c r="K185" s="69" t="n"/>
      <c r="L185" s="36" t="n"/>
      <c r="M185" s="34" t="n"/>
      <c r="N185" s="75" t="n"/>
      <c r="O185" s="37" t="n"/>
      <c r="P185" s="37" t="n"/>
      <c r="Q185" s="37" t="n"/>
      <c r="R185" s="76" t="n"/>
      <c r="S185" s="77" t="n"/>
      <c r="T185" s="77" t="n"/>
      <c r="U185" s="77" t="n"/>
      <c r="V185" s="77" t="n"/>
      <c r="W185" s="34" t="n"/>
      <c r="X185" s="78" t="n"/>
      <c r="Y185" s="46" t="n"/>
      <c r="Z185" s="71">
        <f>IF($A185="","",SUM($S185:$U185))</f>
        <v/>
      </c>
      <c r="AA185" s="72">
        <f>IF($A185="","",IFERROR($Z185/$P185,0))</f>
        <v/>
      </c>
      <c r="AB185" s="41">
        <f>IF($A185="","",SUM($O185:$Q185))</f>
        <v/>
      </c>
      <c r="AC185" s="41">
        <f>IF($A185="","",IFERROR(INDEX('Planner'!$N$6:$N$205,MATCH($B185,'Planner'!$A$6:$A$205,0)),0))</f>
        <v/>
      </c>
      <c r="AD185" s="41">
        <f>IF($A185="","",$AC185-$O185-$Q185)</f>
        <v/>
      </c>
      <c r="AE185" s="41">
        <f>IF($A185="","",$AB185-$AC185)</f>
        <v/>
      </c>
      <c r="AF185" s="73">
        <f>IF($A185="","",IFERROR($AB185/'Settings'!$B$5,0))</f>
        <v/>
      </c>
      <c r="AG185" s="71">
        <f>IF($A185="","",$AF185*'Settings'!$B$4)</f>
        <v/>
      </c>
      <c r="AH185" s="71">
        <f>IF($A185="","",$AE185*'Settings'!$B$17)</f>
        <v/>
      </c>
      <c r="AI185" s="71">
        <f>IF($A185="","",$R185*'Settings'!$B$7)</f>
        <v/>
      </c>
      <c r="AJ185" s="71">
        <f>IF($A185="","",$Z185-$V185-$AH185-$AI185)</f>
        <v/>
      </c>
      <c r="AK185" s="72">
        <f>IF($A185="","",IFERROR($AJ185/$AB185,0))</f>
        <v/>
      </c>
      <c r="AL185" s="38">
        <f>IF($A185="","",IF(OR($C185="Passed",$C185="Expired",$C185="Canceled"),$C185,IF($C185="Completed","Completed",IF(AND($O185&lt;='Settings'!$B$8,$AA185&gt;='Settings'!$B$10,$AJ185&gt;='Settings'!$B$9),IF($C185="Booked","Booked - Meets Targets","Meets Targets"),IF($C185="Booked","Booked - Below Target","Review")))))</f>
        <v/>
      </c>
      <c r="AM185" s="38">
        <f>IF($A185="","",IF(COUNTIF($A$6:$A$205,$A185)&gt;1,"Duplicate Load ID",IF(COUNTIF('Planner'!$A$6:$A$205,$B185)=0,"Trip ID not found",IF(($G185+$H185)&gt;($K185+$L185),"Check schedule",IF(MIN($N185,$O185,$P185,$Q185,$R185,$S185,$T185,$U185,$V185)&lt;0,"Negative value","OK")))))</f>
        <v/>
      </c>
    </row>
    <row r="186">
      <c r="A186" s="34" t="n"/>
      <c r="B186" s="34" t="n"/>
      <c r="C186" s="34" t="n"/>
      <c r="D186" s="34" t="n"/>
      <c r="E186" s="34" t="n"/>
      <c r="F186" s="34" t="n"/>
      <c r="G186" s="69" t="n"/>
      <c r="H186" s="36" t="n"/>
      <c r="I186" s="34" t="n"/>
      <c r="J186" s="34" t="n"/>
      <c r="K186" s="69" t="n"/>
      <c r="L186" s="36" t="n"/>
      <c r="M186" s="34" t="n"/>
      <c r="N186" s="75" t="n"/>
      <c r="O186" s="37" t="n"/>
      <c r="P186" s="37" t="n"/>
      <c r="Q186" s="37" t="n"/>
      <c r="R186" s="76" t="n"/>
      <c r="S186" s="77" t="n"/>
      <c r="T186" s="77" t="n"/>
      <c r="U186" s="77" t="n"/>
      <c r="V186" s="77" t="n"/>
      <c r="W186" s="34" t="n"/>
      <c r="X186" s="78" t="n"/>
      <c r="Y186" s="46" t="n"/>
      <c r="Z186" s="71">
        <f>IF($A186="","",SUM($S186:$U186))</f>
        <v/>
      </c>
      <c r="AA186" s="72">
        <f>IF($A186="","",IFERROR($Z186/$P186,0))</f>
        <v/>
      </c>
      <c r="AB186" s="41">
        <f>IF($A186="","",SUM($O186:$Q186))</f>
        <v/>
      </c>
      <c r="AC186" s="41">
        <f>IF($A186="","",IFERROR(INDEX('Planner'!$N$6:$N$205,MATCH($B186,'Planner'!$A$6:$A$205,0)),0))</f>
        <v/>
      </c>
      <c r="AD186" s="41">
        <f>IF($A186="","",$AC186-$O186-$Q186)</f>
        <v/>
      </c>
      <c r="AE186" s="41">
        <f>IF($A186="","",$AB186-$AC186)</f>
        <v/>
      </c>
      <c r="AF186" s="73">
        <f>IF($A186="","",IFERROR($AB186/'Settings'!$B$5,0))</f>
        <v/>
      </c>
      <c r="AG186" s="71">
        <f>IF($A186="","",$AF186*'Settings'!$B$4)</f>
        <v/>
      </c>
      <c r="AH186" s="71">
        <f>IF($A186="","",$AE186*'Settings'!$B$17)</f>
        <v/>
      </c>
      <c r="AI186" s="71">
        <f>IF($A186="","",$R186*'Settings'!$B$7)</f>
        <v/>
      </c>
      <c r="AJ186" s="71">
        <f>IF($A186="","",$Z186-$V186-$AH186-$AI186)</f>
        <v/>
      </c>
      <c r="AK186" s="72">
        <f>IF($A186="","",IFERROR($AJ186/$AB186,0))</f>
        <v/>
      </c>
      <c r="AL186" s="38">
        <f>IF($A186="","",IF(OR($C186="Passed",$C186="Expired",$C186="Canceled"),$C186,IF($C186="Completed","Completed",IF(AND($O186&lt;='Settings'!$B$8,$AA186&gt;='Settings'!$B$10,$AJ186&gt;='Settings'!$B$9),IF($C186="Booked","Booked - Meets Targets","Meets Targets"),IF($C186="Booked","Booked - Below Target","Review")))))</f>
        <v/>
      </c>
      <c r="AM186" s="38">
        <f>IF($A186="","",IF(COUNTIF($A$6:$A$205,$A186)&gt;1,"Duplicate Load ID",IF(COUNTIF('Planner'!$A$6:$A$205,$B186)=0,"Trip ID not found",IF(($G186+$H186)&gt;($K186+$L186),"Check schedule",IF(MIN($N186,$O186,$P186,$Q186,$R186,$S186,$T186,$U186,$V186)&lt;0,"Negative value","OK")))))</f>
        <v/>
      </c>
    </row>
    <row r="187">
      <c r="A187" s="34" t="n"/>
      <c r="B187" s="34" t="n"/>
      <c r="C187" s="34" t="n"/>
      <c r="D187" s="34" t="n"/>
      <c r="E187" s="34" t="n"/>
      <c r="F187" s="34" t="n"/>
      <c r="G187" s="69" t="n"/>
      <c r="H187" s="36" t="n"/>
      <c r="I187" s="34" t="n"/>
      <c r="J187" s="34" t="n"/>
      <c r="K187" s="69" t="n"/>
      <c r="L187" s="36" t="n"/>
      <c r="M187" s="34" t="n"/>
      <c r="N187" s="75" t="n"/>
      <c r="O187" s="37" t="n"/>
      <c r="P187" s="37" t="n"/>
      <c r="Q187" s="37" t="n"/>
      <c r="R187" s="76" t="n"/>
      <c r="S187" s="77" t="n"/>
      <c r="T187" s="77" t="n"/>
      <c r="U187" s="77" t="n"/>
      <c r="V187" s="77" t="n"/>
      <c r="W187" s="34" t="n"/>
      <c r="X187" s="78" t="n"/>
      <c r="Y187" s="46" t="n"/>
      <c r="Z187" s="71">
        <f>IF($A187="","",SUM($S187:$U187))</f>
        <v/>
      </c>
      <c r="AA187" s="72">
        <f>IF($A187="","",IFERROR($Z187/$P187,0))</f>
        <v/>
      </c>
      <c r="AB187" s="41">
        <f>IF($A187="","",SUM($O187:$Q187))</f>
        <v/>
      </c>
      <c r="AC187" s="41">
        <f>IF($A187="","",IFERROR(INDEX('Planner'!$N$6:$N$205,MATCH($B187,'Planner'!$A$6:$A$205,0)),0))</f>
        <v/>
      </c>
      <c r="AD187" s="41">
        <f>IF($A187="","",$AC187-$O187-$Q187)</f>
        <v/>
      </c>
      <c r="AE187" s="41">
        <f>IF($A187="","",$AB187-$AC187)</f>
        <v/>
      </c>
      <c r="AF187" s="73">
        <f>IF($A187="","",IFERROR($AB187/'Settings'!$B$5,0))</f>
        <v/>
      </c>
      <c r="AG187" s="71">
        <f>IF($A187="","",$AF187*'Settings'!$B$4)</f>
        <v/>
      </c>
      <c r="AH187" s="71">
        <f>IF($A187="","",$AE187*'Settings'!$B$17)</f>
        <v/>
      </c>
      <c r="AI187" s="71">
        <f>IF($A187="","",$R187*'Settings'!$B$7)</f>
        <v/>
      </c>
      <c r="AJ187" s="71">
        <f>IF($A187="","",$Z187-$V187-$AH187-$AI187)</f>
        <v/>
      </c>
      <c r="AK187" s="72">
        <f>IF($A187="","",IFERROR($AJ187/$AB187,0))</f>
        <v/>
      </c>
      <c r="AL187" s="38">
        <f>IF($A187="","",IF(OR($C187="Passed",$C187="Expired",$C187="Canceled"),$C187,IF($C187="Completed","Completed",IF(AND($O187&lt;='Settings'!$B$8,$AA187&gt;='Settings'!$B$10,$AJ187&gt;='Settings'!$B$9),IF($C187="Booked","Booked - Meets Targets","Meets Targets"),IF($C187="Booked","Booked - Below Target","Review")))))</f>
        <v/>
      </c>
      <c r="AM187" s="38">
        <f>IF($A187="","",IF(COUNTIF($A$6:$A$205,$A187)&gt;1,"Duplicate Load ID",IF(COUNTIF('Planner'!$A$6:$A$205,$B187)=0,"Trip ID not found",IF(($G187+$H187)&gt;($K187+$L187),"Check schedule",IF(MIN($N187,$O187,$P187,$Q187,$R187,$S187,$T187,$U187,$V187)&lt;0,"Negative value","OK")))))</f>
        <v/>
      </c>
    </row>
    <row r="188">
      <c r="A188" s="34" t="n"/>
      <c r="B188" s="34" t="n"/>
      <c r="C188" s="34" t="n"/>
      <c r="D188" s="34" t="n"/>
      <c r="E188" s="34" t="n"/>
      <c r="F188" s="34" t="n"/>
      <c r="G188" s="69" t="n"/>
      <c r="H188" s="36" t="n"/>
      <c r="I188" s="34" t="n"/>
      <c r="J188" s="34" t="n"/>
      <c r="K188" s="69" t="n"/>
      <c r="L188" s="36" t="n"/>
      <c r="M188" s="34" t="n"/>
      <c r="N188" s="75" t="n"/>
      <c r="O188" s="37" t="n"/>
      <c r="P188" s="37" t="n"/>
      <c r="Q188" s="37" t="n"/>
      <c r="R188" s="76" t="n"/>
      <c r="S188" s="77" t="n"/>
      <c r="T188" s="77" t="n"/>
      <c r="U188" s="77" t="n"/>
      <c r="V188" s="77" t="n"/>
      <c r="W188" s="34" t="n"/>
      <c r="X188" s="78" t="n"/>
      <c r="Y188" s="46" t="n"/>
      <c r="Z188" s="71">
        <f>IF($A188="","",SUM($S188:$U188))</f>
        <v/>
      </c>
      <c r="AA188" s="72">
        <f>IF($A188="","",IFERROR($Z188/$P188,0))</f>
        <v/>
      </c>
      <c r="AB188" s="41">
        <f>IF($A188="","",SUM($O188:$Q188))</f>
        <v/>
      </c>
      <c r="AC188" s="41">
        <f>IF($A188="","",IFERROR(INDEX('Planner'!$N$6:$N$205,MATCH($B188,'Planner'!$A$6:$A$205,0)),0))</f>
        <v/>
      </c>
      <c r="AD188" s="41">
        <f>IF($A188="","",$AC188-$O188-$Q188)</f>
        <v/>
      </c>
      <c r="AE188" s="41">
        <f>IF($A188="","",$AB188-$AC188)</f>
        <v/>
      </c>
      <c r="AF188" s="73">
        <f>IF($A188="","",IFERROR($AB188/'Settings'!$B$5,0))</f>
        <v/>
      </c>
      <c r="AG188" s="71">
        <f>IF($A188="","",$AF188*'Settings'!$B$4)</f>
        <v/>
      </c>
      <c r="AH188" s="71">
        <f>IF($A188="","",$AE188*'Settings'!$B$17)</f>
        <v/>
      </c>
      <c r="AI188" s="71">
        <f>IF($A188="","",$R188*'Settings'!$B$7)</f>
        <v/>
      </c>
      <c r="AJ188" s="71">
        <f>IF($A188="","",$Z188-$V188-$AH188-$AI188)</f>
        <v/>
      </c>
      <c r="AK188" s="72">
        <f>IF($A188="","",IFERROR($AJ188/$AB188,0))</f>
        <v/>
      </c>
      <c r="AL188" s="38">
        <f>IF($A188="","",IF(OR($C188="Passed",$C188="Expired",$C188="Canceled"),$C188,IF($C188="Completed","Completed",IF(AND($O188&lt;='Settings'!$B$8,$AA188&gt;='Settings'!$B$10,$AJ188&gt;='Settings'!$B$9),IF($C188="Booked","Booked - Meets Targets","Meets Targets"),IF($C188="Booked","Booked - Below Target","Review")))))</f>
        <v/>
      </c>
      <c r="AM188" s="38">
        <f>IF($A188="","",IF(COUNTIF($A$6:$A$205,$A188)&gt;1,"Duplicate Load ID",IF(COUNTIF('Planner'!$A$6:$A$205,$B188)=0,"Trip ID not found",IF(($G188+$H188)&gt;($K188+$L188),"Check schedule",IF(MIN($N188,$O188,$P188,$Q188,$R188,$S188,$T188,$U188,$V188)&lt;0,"Negative value","OK")))))</f>
        <v/>
      </c>
    </row>
    <row r="189">
      <c r="A189" s="34" t="n"/>
      <c r="B189" s="34" t="n"/>
      <c r="C189" s="34" t="n"/>
      <c r="D189" s="34" t="n"/>
      <c r="E189" s="34" t="n"/>
      <c r="F189" s="34" t="n"/>
      <c r="G189" s="69" t="n"/>
      <c r="H189" s="36" t="n"/>
      <c r="I189" s="34" t="n"/>
      <c r="J189" s="34" t="n"/>
      <c r="K189" s="69" t="n"/>
      <c r="L189" s="36" t="n"/>
      <c r="M189" s="34" t="n"/>
      <c r="N189" s="75" t="n"/>
      <c r="O189" s="37" t="n"/>
      <c r="P189" s="37" t="n"/>
      <c r="Q189" s="37" t="n"/>
      <c r="R189" s="76" t="n"/>
      <c r="S189" s="77" t="n"/>
      <c r="T189" s="77" t="n"/>
      <c r="U189" s="77" t="n"/>
      <c r="V189" s="77" t="n"/>
      <c r="W189" s="34" t="n"/>
      <c r="X189" s="78" t="n"/>
      <c r="Y189" s="46" t="n"/>
      <c r="Z189" s="71">
        <f>IF($A189="","",SUM($S189:$U189))</f>
        <v/>
      </c>
      <c r="AA189" s="72">
        <f>IF($A189="","",IFERROR($Z189/$P189,0))</f>
        <v/>
      </c>
      <c r="AB189" s="41">
        <f>IF($A189="","",SUM($O189:$Q189))</f>
        <v/>
      </c>
      <c r="AC189" s="41">
        <f>IF($A189="","",IFERROR(INDEX('Planner'!$N$6:$N$205,MATCH($B189,'Planner'!$A$6:$A$205,0)),0))</f>
        <v/>
      </c>
      <c r="AD189" s="41">
        <f>IF($A189="","",$AC189-$O189-$Q189)</f>
        <v/>
      </c>
      <c r="AE189" s="41">
        <f>IF($A189="","",$AB189-$AC189)</f>
        <v/>
      </c>
      <c r="AF189" s="73">
        <f>IF($A189="","",IFERROR($AB189/'Settings'!$B$5,0))</f>
        <v/>
      </c>
      <c r="AG189" s="71">
        <f>IF($A189="","",$AF189*'Settings'!$B$4)</f>
        <v/>
      </c>
      <c r="AH189" s="71">
        <f>IF($A189="","",$AE189*'Settings'!$B$17)</f>
        <v/>
      </c>
      <c r="AI189" s="71">
        <f>IF($A189="","",$R189*'Settings'!$B$7)</f>
        <v/>
      </c>
      <c r="AJ189" s="71">
        <f>IF($A189="","",$Z189-$V189-$AH189-$AI189)</f>
        <v/>
      </c>
      <c r="AK189" s="72">
        <f>IF($A189="","",IFERROR($AJ189/$AB189,0))</f>
        <v/>
      </c>
      <c r="AL189" s="38">
        <f>IF($A189="","",IF(OR($C189="Passed",$C189="Expired",$C189="Canceled"),$C189,IF($C189="Completed","Completed",IF(AND($O189&lt;='Settings'!$B$8,$AA189&gt;='Settings'!$B$10,$AJ189&gt;='Settings'!$B$9),IF($C189="Booked","Booked - Meets Targets","Meets Targets"),IF($C189="Booked","Booked - Below Target","Review")))))</f>
        <v/>
      </c>
      <c r="AM189" s="38">
        <f>IF($A189="","",IF(COUNTIF($A$6:$A$205,$A189)&gt;1,"Duplicate Load ID",IF(COUNTIF('Planner'!$A$6:$A$205,$B189)=0,"Trip ID not found",IF(($G189+$H189)&gt;($K189+$L189),"Check schedule",IF(MIN($N189,$O189,$P189,$Q189,$R189,$S189,$T189,$U189,$V189)&lt;0,"Negative value","OK")))))</f>
        <v/>
      </c>
    </row>
    <row r="190">
      <c r="A190" s="34" t="n"/>
      <c r="B190" s="34" t="n"/>
      <c r="C190" s="34" t="n"/>
      <c r="D190" s="34" t="n"/>
      <c r="E190" s="34" t="n"/>
      <c r="F190" s="34" t="n"/>
      <c r="G190" s="69" t="n"/>
      <c r="H190" s="36" t="n"/>
      <c r="I190" s="34" t="n"/>
      <c r="J190" s="34" t="n"/>
      <c r="K190" s="69" t="n"/>
      <c r="L190" s="36" t="n"/>
      <c r="M190" s="34" t="n"/>
      <c r="N190" s="75" t="n"/>
      <c r="O190" s="37" t="n"/>
      <c r="P190" s="37" t="n"/>
      <c r="Q190" s="37" t="n"/>
      <c r="R190" s="76" t="n"/>
      <c r="S190" s="77" t="n"/>
      <c r="T190" s="77" t="n"/>
      <c r="U190" s="77" t="n"/>
      <c r="V190" s="77" t="n"/>
      <c r="W190" s="34" t="n"/>
      <c r="X190" s="78" t="n"/>
      <c r="Y190" s="46" t="n"/>
      <c r="Z190" s="71">
        <f>IF($A190="","",SUM($S190:$U190))</f>
        <v/>
      </c>
      <c r="AA190" s="72">
        <f>IF($A190="","",IFERROR($Z190/$P190,0))</f>
        <v/>
      </c>
      <c r="AB190" s="41">
        <f>IF($A190="","",SUM($O190:$Q190))</f>
        <v/>
      </c>
      <c r="AC190" s="41">
        <f>IF($A190="","",IFERROR(INDEX('Planner'!$N$6:$N$205,MATCH($B190,'Planner'!$A$6:$A$205,0)),0))</f>
        <v/>
      </c>
      <c r="AD190" s="41">
        <f>IF($A190="","",$AC190-$O190-$Q190)</f>
        <v/>
      </c>
      <c r="AE190" s="41">
        <f>IF($A190="","",$AB190-$AC190)</f>
        <v/>
      </c>
      <c r="AF190" s="73">
        <f>IF($A190="","",IFERROR($AB190/'Settings'!$B$5,0))</f>
        <v/>
      </c>
      <c r="AG190" s="71">
        <f>IF($A190="","",$AF190*'Settings'!$B$4)</f>
        <v/>
      </c>
      <c r="AH190" s="71">
        <f>IF($A190="","",$AE190*'Settings'!$B$17)</f>
        <v/>
      </c>
      <c r="AI190" s="71">
        <f>IF($A190="","",$R190*'Settings'!$B$7)</f>
        <v/>
      </c>
      <c r="AJ190" s="71">
        <f>IF($A190="","",$Z190-$V190-$AH190-$AI190)</f>
        <v/>
      </c>
      <c r="AK190" s="72">
        <f>IF($A190="","",IFERROR($AJ190/$AB190,0))</f>
        <v/>
      </c>
      <c r="AL190" s="38">
        <f>IF($A190="","",IF(OR($C190="Passed",$C190="Expired",$C190="Canceled"),$C190,IF($C190="Completed","Completed",IF(AND($O190&lt;='Settings'!$B$8,$AA190&gt;='Settings'!$B$10,$AJ190&gt;='Settings'!$B$9),IF($C190="Booked","Booked - Meets Targets","Meets Targets"),IF($C190="Booked","Booked - Below Target","Review")))))</f>
        <v/>
      </c>
      <c r="AM190" s="38">
        <f>IF($A190="","",IF(COUNTIF($A$6:$A$205,$A190)&gt;1,"Duplicate Load ID",IF(COUNTIF('Planner'!$A$6:$A$205,$B190)=0,"Trip ID not found",IF(($G190+$H190)&gt;($K190+$L190),"Check schedule",IF(MIN($N190,$O190,$P190,$Q190,$R190,$S190,$T190,$U190,$V190)&lt;0,"Negative value","OK")))))</f>
        <v/>
      </c>
    </row>
    <row r="191">
      <c r="A191" s="34" t="n"/>
      <c r="B191" s="34" t="n"/>
      <c r="C191" s="34" t="n"/>
      <c r="D191" s="34" t="n"/>
      <c r="E191" s="34" t="n"/>
      <c r="F191" s="34" t="n"/>
      <c r="G191" s="69" t="n"/>
      <c r="H191" s="36" t="n"/>
      <c r="I191" s="34" t="n"/>
      <c r="J191" s="34" t="n"/>
      <c r="K191" s="69" t="n"/>
      <c r="L191" s="36" t="n"/>
      <c r="M191" s="34" t="n"/>
      <c r="N191" s="75" t="n"/>
      <c r="O191" s="37" t="n"/>
      <c r="P191" s="37" t="n"/>
      <c r="Q191" s="37" t="n"/>
      <c r="R191" s="76" t="n"/>
      <c r="S191" s="77" t="n"/>
      <c r="T191" s="77" t="n"/>
      <c r="U191" s="77" t="n"/>
      <c r="V191" s="77" t="n"/>
      <c r="W191" s="34" t="n"/>
      <c r="X191" s="78" t="n"/>
      <c r="Y191" s="46" t="n"/>
      <c r="Z191" s="71">
        <f>IF($A191="","",SUM($S191:$U191))</f>
        <v/>
      </c>
      <c r="AA191" s="72">
        <f>IF($A191="","",IFERROR($Z191/$P191,0))</f>
        <v/>
      </c>
      <c r="AB191" s="41">
        <f>IF($A191="","",SUM($O191:$Q191))</f>
        <v/>
      </c>
      <c r="AC191" s="41">
        <f>IF($A191="","",IFERROR(INDEX('Planner'!$N$6:$N$205,MATCH($B191,'Planner'!$A$6:$A$205,0)),0))</f>
        <v/>
      </c>
      <c r="AD191" s="41">
        <f>IF($A191="","",$AC191-$O191-$Q191)</f>
        <v/>
      </c>
      <c r="AE191" s="41">
        <f>IF($A191="","",$AB191-$AC191)</f>
        <v/>
      </c>
      <c r="AF191" s="73">
        <f>IF($A191="","",IFERROR($AB191/'Settings'!$B$5,0))</f>
        <v/>
      </c>
      <c r="AG191" s="71">
        <f>IF($A191="","",$AF191*'Settings'!$B$4)</f>
        <v/>
      </c>
      <c r="AH191" s="71">
        <f>IF($A191="","",$AE191*'Settings'!$B$17)</f>
        <v/>
      </c>
      <c r="AI191" s="71">
        <f>IF($A191="","",$R191*'Settings'!$B$7)</f>
        <v/>
      </c>
      <c r="AJ191" s="71">
        <f>IF($A191="","",$Z191-$V191-$AH191-$AI191)</f>
        <v/>
      </c>
      <c r="AK191" s="72">
        <f>IF($A191="","",IFERROR($AJ191/$AB191,0))</f>
        <v/>
      </c>
      <c r="AL191" s="38">
        <f>IF($A191="","",IF(OR($C191="Passed",$C191="Expired",$C191="Canceled"),$C191,IF($C191="Completed","Completed",IF(AND($O191&lt;='Settings'!$B$8,$AA191&gt;='Settings'!$B$10,$AJ191&gt;='Settings'!$B$9),IF($C191="Booked","Booked - Meets Targets","Meets Targets"),IF($C191="Booked","Booked - Below Target","Review")))))</f>
        <v/>
      </c>
      <c r="AM191" s="38">
        <f>IF($A191="","",IF(COUNTIF($A$6:$A$205,$A191)&gt;1,"Duplicate Load ID",IF(COUNTIF('Planner'!$A$6:$A$205,$B191)=0,"Trip ID not found",IF(($G191+$H191)&gt;($K191+$L191),"Check schedule",IF(MIN($N191,$O191,$P191,$Q191,$R191,$S191,$T191,$U191,$V191)&lt;0,"Negative value","OK")))))</f>
        <v/>
      </c>
    </row>
    <row r="192">
      <c r="A192" s="34" t="n"/>
      <c r="B192" s="34" t="n"/>
      <c r="C192" s="34" t="n"/>
      <c r="D192" s="34" t="n"/>
      <c r="E192" s="34" t="n"/>
      <c r="F192" s="34" t="n"/>
      <c r="G192" s="69" t="n"/>
      <c r="H192" s="36" t="n"/>
      <c r="I192" s="34" t="n"/>
      <c r="J192" s="34" t="n"/>
      <c r="K192" s="69" t="n"/>
      <c r="L192" s="36" t="n"/>
      <c r="M192" s="34" t="n"/>
      <c r="N192" s="75" t="n"/>
      <c r="O192" s="37" t="n"/>
      <c r="P192" s="37" t="n"/>
      <c r="Q192" s="37" t="n"/>
      <c r="R192" s="76" t="n"/>
      <c r="S192" s="77" t="n"/>
      <c r="T192" s="77" t="n"/>
      <c r="U192" s="77" t="n"/>
      <c r="V192" s="77" t="n"/>
      <c r="W192" s="34" t="n"/>
      <c r="X192" s="78" t="n"/>
      <c r="Y192" s="46" t="n"/>
      <c r="Z192" s="71">
        <f>IF($A192="","",SUM($S192:$U192))</f>
        <v/>
      </c>
      <c r="AA192" s="72">
        <f>IF($A192="","",IFERROR($Z192/$P192,0))</f>
        <v/>
      </c>
      <c r="AB192" s="41">
        <f>IF($A192="","",SUM($O192:$Q192))</f>
        <v/>
      </c>
      <c r="AC192" s="41">
        <f>IF($A192="","",IFERROR(INDEX('Planner'!$N$6:$N$205,MATCH($B192,'Planner'!$A$6:$A$205,0)),0))</f>
        <v/>
      </c>
      <c r="AD192" s="41">
        <f>IF($A192="","",$AC192-$O192-$Q192)</f>
        <v/>
      </c>
      <c r="AE192" s="41">
        <f>IF($A192="","",$AB192-$AC192)</f>
        <v/>
      </c>
      <c r="AF192" s="73">
        <f>IF($A192="","",IFERROR($AB192/'Settings'!$B$5,0))</f>
        <v/>
      </c>
      <c r="AG192" s="71">
        <f>IF($A192="","",$AF192*'Settings'!$B$4)</f>
        <v/>
      </c>
      <c r="AH192" s="71">
        <f>IF($A192="","",$AE192*'Settings'!$B$17)</f>
        <v/>
      </c>
      <c r="AI192" s="71">
        <f>IF($A192="","",$R192*'Settings'!$B$7)</f>
        <v/>
      </c>
      <c r="AJ192" s="71">
        <f>IF($A192="","",$Z192-$V192-$AH192-$AI192)</f>
        <v/>
      </c>
      <c r="AK192" s="72">
        <f>IF($A192="","",IFERROR($AJ192/$AB192,0))</f>
        <v/>
      </c>
      <c r="AL192" s="38">
        <f>IF($A192="","",IF(OR($C192="Passed",$C192="Expired",$C192="Canceled"),$C192,IF($C192="Completed","Completed",IF(AND($O192&lt;='Settings'!$B$8,$AA192&gt;='Settings'!$B$10,$AJ192&gt;='Settings'!$B$9),IF($C192="Booked","Booked - Meets Targets","Meets Targets"),IF($C192="Booked","Booked - Below Target","Review")))))</f>
        <v/>
      </c>
      <c r="AM192" s="38">
        <f>IF($A192="","",IF(COUNTIF($A$6:$A$205,$A192)&gt;1,"Duplicate Load ID",IF(COUNTIF('Planner'!$A$6:$A$205,$B192)=0,"Trip ID not found",IF(($G192+$H192)&gt;($K192+$L192),"Check schedule",IF(MIN($N192,$O192,$P192,$Q192,$R192,$S192,$T192,$U192,$V192)&lt;0,"Negative value","OK")))))</f>
        <v/>
      </c>
    </row>
    <row r="193">
      <c r="A193" s="34" t="n"/>
      <c r="B193" s="34" t="n"/>
      <c r="C193" s="34" t="n"/>
      <c r="D193" s="34" t="n"/>
      <c r="E193" s="34" t="n"/>
      <c r="F193" s="34" t="n"/>
      <c r="G193" s="69" t="n"/>
      <c r="H193" s="36" t="n"/>
      <c r="I193" s="34" t="n"/>
      <c r="J193" s="34" t="n"/>
      <c r="K193" s="69" t="n"/>
      <c r="L193" s="36" t="n"/>
      <c r="M193" s="34" t="n"/>
      <c r="N193" s="75" t="n"/>
      <c r="O193" s="37" t="n"/>
      <c r="P193" s="37" t="n"/>
      <c r="Q193" s="37" t="n"/>
      <c r="R193" s="76" t="n"/>
      <c r="S193" s="77" t="n"/>
      <c r="T193" s="77" t="n"/>
      <c r="U193" s="77" t="n"/>
      <c r="V193" s="77" t="n"/>
      <c r="W193" s="34" t="n"/>
      <c r="X193" s="78" t="n"/>
      <c r="Y193" s="46" t="n"/>
      <c r="Z193" s="71">
        <f>IF($A193="","",SUM($S193:$U193))</f>
        <v/>
      </c>
      <c r="AA193" s="72">
        <f>IF($A193="","",IFERROR($Z193/$P193,0))</f>
        <v/>
      </c>
      <c r="AB193" s="41">
        <f>IF($A193="","",SUM($O193:$Q193))</f>
        <v/>
      </c>
      <c r="AC193" s="41">
        <f>IF($A193="","",IFERROR(INDEX('Planner'!$N$6:$N$205,MATCH($B193,'Planner'!$A$6:$A$205,0)),0))</f>
        <v/>
      </c>
      <c r="AD193" s="41">
        <f>IF($A193="","",$AC193-$O193-$Q193)</f>
        <v/>
      </c>
      <c r="AE193" s="41">
        <f>IF($A193="","",$AB193-$AC193)</f>
        <v/>
      </c>
      <c r="AF193" s="73">
        <f>IF($A193="","",IFERROR($AB193/'Settings'!$B$5,0))</f>
        <v/>
      </c>
      <c r="AG193" s="71">
        <f>IF($A193="","",$AF193*'Settings'!$B$4)</f>
        <v/>
      </c>
      <c r="AH193" s="71">
        <f>IF($A193="","",$AE193*'Settings'!$B$17)</f>
        <v/>
      </c>
      <c r="AI193" s="71">
        <f>IF($A193="","",$R193*'Settings'!$B$7)</f>
        <v/>
      </c>
      <c r="AJ193" s="71">
        <f>IF($A193="","",$Z193-$V193-$AH193-$AI193)</f>
        <v/>
      </c>
      <c r="AK193" s="72">
        <f>IF($A193="","",IFERROR($AJ193/$AB193,0))</f>
        <v/>
      </c>
      <c r="AL193" s="38">
        <f>IF($A193="","",IF(OR($C193="Passed",$C193="Expired",$C193="Canceled"),$C193,IF($C193="Completed","Completed",IF(AND($O193&lt;='Settings'!$B$8,$AA193&gt;='Settings'!$B$10,$AJ193&gt;='Settings'!$B$9),IF($C193="Booked","Booked - Meets Targets","Meets Targets"),IF($C193="Booked","Booked - Below Target","Review")))))</f>
        <v/>
      </c>
      <c r="AM193" s="38">
        <f>IF($A193="","",IF(COUNTIF($A$6:$A$205,$A193)&gt;1,"Duplicate Load ID",IF(COUNTIF('Planner'!$A$6:$A$205,$B193)=0,"Trip ID not found",IF(($G193+$H193)&gt;($K193+$L193),"Check schedule",IF(MIN($N193,$O193,$P193,$Q193,$R193,$S193,$T193,$U193,$V193)&lt;0,"Negative value","OK")))))</f>
        <v/>
      </c>
    </row>
    <row r="194">
      <c r="A194" s="34" t="n"/>
      <c r="B194" s="34" t="n"/>
      <c r="C194" s="34" t="n"/>
      <c r="D194" s="34" t="n"/>
      <c r="E194" s="34" t="n"/>
      <c r="F194" s="34" t="n"/>
      <c r="G194" s="69" t="n"/>
      <c r="H194" s="36" t="n"/>
      <c r="I194" s="34" t="n"/>
      <c r="J194" s="34" t="n"/>
      <c r="K194" s="69" t="n"/>
      <c r="L194" s="36" t="n"/>
      <c r="M194" s="34" t="n"/>
      <c r="N194" s="75" t="n"/>
      <c r="O194" s="37" t="n"/>
      <c r="P194" s="37" t="n"/>
      <c r="Q194" s="37" t="n"/>
      <c r="R194" s="76" t="n"/>
      <c r="S194" s="77" t="n"/>
      <c r="T194" s="77" t="n"/>
      <c r="U194" s="77" t="n"/>
      <c r="V194" s="77" t="n"/>
      <c r="W194" s="34" t="n"/>
      <c r="X194" s="78" t="n"/>
      <c r="Y194" s="46" t="n"/>
      <c r="Z194" s="71">
        <f>IF($A194="","",SUM($S194:$U194))</f>
        <v/>
      </c>
      <c r="AA194" s="72">
        <f>IF($A194="","",IFERROR($Z194/$P194,0))</f>
        <v/>
      </c>
      <c r="AB194" s="41">
        <f>IF($A194="","",SUM($O194:$Q194))</f>
        <v/>
      </c>
      <c r="AC194" s="41">
        <f>IF($A194="","",IFERROR(INDEX('Planner'!$N$6:$N$205,MATCH($B194,'Planner'!$A$6:$A$205,0)),0))</f>
        <v/>
      </c>
      <c r="AD194" s="41">
        <f>IF($A194="","",$AC194-$O194-$Q194)</f>
        <v/>
      </c>
      <c r="AE194" s="41">
        <f>IF($A194="","",$AB194-$AC194)</f>
        <v/>
      </c>
      <c r="AF194" s="73">
        <f>IF($A194="","",IFERROR($AB194/'Settings'!$B$5,0))</f>
        <v/>
      </c>
      <c r="AG194" s="71">
        <f>IF($A194="","",$AF194*'Settings'!$B$4)</f>
        <v/>
      </c>
      <c r="AH194" s="71">
        <f>IF($A194="","",$AE194*'Settings'!$B$17)</f>
        <v/>
      </c>
      <c r="AI194" s="71">
        <f>IF($A194="","",$R194*'Settings'!$B$7)</f>
        <v/>
      </c>
      <c r="AJ194" s="71">
        <f>IF($A194="","",$Z194-$V194-$AH194-$AI194)</f>
        <v/>
      </c>
      <c r="AK194" s="72">
        <f>IF($A194="","",IFERROR($AJ194/$AB194,0))</f>
        <v/>
      </c>
      <c r="AL194" s="38">
        <f>IF($A194="","",IF(OR($C194="Passed",$C194="Expired",$C194="Canceled"),$C194,IF($C194="Completed","Completed",IF(AND($O194&lt;='Settings'!$B$8,$AA194&gt;='Settings'!$B$10,$AJ194&gt;='Settings'!$B$9),IF($C194="Booked","Booked - Meets Targets","Meets Targets"),IF($C194="Booked","Booked - Below Target","Review")))))</f>
        <v/>
      </c>
      <c r="AM194" s="38">
        <f>IF($A194="","",IF(COUNTIF($A$6:$A$205,$A194)&gt;1,"Duplicate Load ID",IF(COUNTIF('Planner'!$A$6:$A$205,$B194)=0,"Trip ID not found",IF(($G194+$H194)&gt;($K194+$L194),"Check schedule",IF(MIN($N194,$O194,$P194,$Q194,$R194,$S194,$T194,$U194,$V194)&lt;0,"Negative value","OK")))))</f>
        <v/>
      </c>
    </row>
    <row r="195">
      <c r="A195" s="34" t="n"/>
      <c r="B195" s="34" t="n"/>
      <c r="C195" s="34" t="n"/>
      <c r="D195" s="34" t="n"/>
      <c r="E195" s="34" t="n"/>
      <c r="F195" s="34" t="n"/>
      <c r="G195" s="69" t="n"/>
      <c r="H195" s="36" t="n"/>
      <c r="I195" s="34" t="n"/>
      <c r="J195" s="34" t="n"/>
      <c r="K195" s="69" t="n"/>
      <c r="L195" s="36" t="n"/>
      <c r="M195" s="34" t="n"/>
      <c r="N195" s="75" t="n"/>
      <c r="O195" s="37" t="n"/>
      <c r="P195" s="37" t="n"/>
      <c r="Q195" s="37" t="n"/>
      <c r="R195" s="76" t="n"/>
      <c r="S195" s="77" t="n"/>
      <c r="T195" s="77" t="n"/>
      <c r="U195" s="77" t="n"/>
      <c r="V195" s="77" t="n"/>
      <c r="W195" s="34" t="n"/>
      <c r="X195" s="78" t="n"/>
      <c r="Y195" s="46" t="n"/>
      <c r="Z195" s="71">
        <f>IF($A195="","",SUM($S195:$U195))</f>
        <v/>
      </c>
      <c r="AA195" s="72">
        <f>IF($A195="","",IFERROR($Z195/$P195,0))</f>
        <v/>
      </c>
      <c r="AB195" s="41">
        <f>IF($A195="","",SUM($O195:$Q195))</f>
        <v/>
      </c>
      <c r="AC195" s="41">
        <f>IF($A195="","",IFERROR(INDEX('Planner'!$N$6:$N$205,MATCH($B195,'Planner'!$A$6:$A$205,0)),0))</f>
        <v/>
      </c>
      <c r="AD195" s="41">
        <f>IF($A195="","",$AC195-$O195-$Q195)</f>
        <v/>
      </c>
      <c r="AE195" s="41">
        <f>IF($A195="","",$AB195-$AC195)</f>
        <v/>
      </c>
      <c r="AF195" s="73">
        <f>IF($A195="","",IFERROR($AB195/'Settings'!$B$5,0))</f>
        <v/>
      </c>
      <c r="AG195" s="71">
        <f>IF($A195="","",$AF195*'Settings'!$B$4)</f>
        <v/>
      </c>
      <c r="AH195" s="71">
        <f>IF($A195="","",$AE195*'Settings'!$B$17)</f>
        <v/>
      </c>
      <c r="AI195" s="71">
        <f>IF($A195="","",$R195*'Settings'!$B$7)</f>
        <v/>
      </c>
      <c r="AJ195" s="71">
        <f>IF($A195="","",$Z195-$V195-$AH195-$AI195)</f>
        <v/>
      </c>
      <c r="AK195" s="72">
        <f>IF($A195="","",IFERROR($AJ195/$AB195,0))</f>
        <v/>
      </c>
      <c r="AL195" s="38">
        <f>IF($A195="","",IF(OR($C195="Passed",$C195="Expired",$C195="Canceled"),$C195,IF($C195="Completed","Completed",IF(AND($O195&lt;='Settings'!$B$8,$AA195&gt;='Settings'!$B$10,$AJ195&gt;='Settings'!$B$9),IF($C195="Booked","Booked - Meets Targets","Meets Targets"),IF($C195="Booked","Booked - Below Target","Review")))))</f>
        <v/>
      </c>
      <c r="AM195" s="38">
        <f>IF($A195="","",IF(COUNTIF($A$6:$A$205,$A195)&gt;1,"Duplicate Load ID",IF(COUNTIF('Planner'!$A$6:$A$205,$B195)=0,"Trip ID not found",IF(($G195+$H195)&gt;($K195+$L195),"Check schedule",IF(MIN($N195,$O195,$P195,$Q195,$R195,$S195,$T195,$U195,$V195)&lt;0,"Negative value","OK")))))</f>
        <v/>
      </c>
    </row>
    <row r="196">
      <c r="A196" s="34" t="n"/>
      <c r="B196" s="34" t="n"/>
      <c r="C196" s="34" t="n"/>
      <c r="D196" s="34" t="n"/>
      <c r="E196" s="34" t="n"/>
      <c r="F196" s="34" t="n"/>
      <c r="G196" s="69" t="n"/>
      <c r="H196" s="36" t="n"/>
      <c r="I196" s="34" t="n"/>
      <c r="J196" s="34" t="n"/>
      <c r="K196" s="69" t="n"/>
      <c r="L196" s="36" t="n"/>
      <c r="M196" s="34" t="n"/>
      <c r="N196" s="75" t="n"/>
      <c r="O196" s="37" t="n"/>
      <c r="P196" s="37" t="n"/>
      <c r="Q196" s="37" t="n"/>
      <c r="R196" s="76" t="n"/>
      <c r="S196" s="77" t="n"/>
      <c r="T196" s="77" t="n"/>
      <c r="U196" s="77" t="n"/>
      <c r="V196" s="77" t="n"/>
      <c r="W196" s="34" t="n"/>
      <c r="X196" s="78" t="n"/>
      <c r="Y196" s="46" t="n"/>
      <c r="Z196" s="71">
        <f>IF($A196="","",SUM($S196:$U196))</f>
        <v/>
      </c>
      <c r="AA196" s="72">
        <f>IF($A196="","",IFERROR($Z196/$P196,0))</f>
        <v/>
      </c>
      <c r="AB196" s="41">
        <f>IF($A196="","",SUM($O196:$Q196))</f>
        <v/>
      </c>
      <c r="AC196" s="41">
        <f>IF($A196="","",IFERROR(INDEX('Planner'!$N$6:$N$205,MATCH($B196,'Planner'!$A$6:$A$205,0)),0))</f>
        <v/>
      </c>
      <c r="AD196" s="41">
        <f>IF($A196="","",$AC196-$O196-$Q196)</f>
        <v/>
      </c>
      <c r="AE196" s="41">
        <f>IF($A196="","",$AB196-$AC196)</f>
        <v/>
      </c>
      <c r="AF196" s="73">
        <f>IF($A196="","",IFERROR($AB196/'Settings'!$B$5,0))</f>
        <v/>
      </c>
      <c r="AG196" s="71">
        <f>IF($A196="","",$AF196*'Settings'!$B$4)</f>
        <v/>
      </c>
      <c r="AH196" s="71">
        <f>IF($A196="","",$AE196*'Settings'!$B$17)</f>
        <v/>
      </c>
      <c r="AI196" s="71">
        <f>IF($A196="","",$R196*'Settings'!$B$7)</f>
        <v/>
      </c>
      <c r="AJ196" s="71">
        <f>IF($A196="","",$Z196-$V196-$AH196-$AI196)</f>
        <v/>
      </c>
      <c r="AK196" s="72">
        <f>IF($A196="","",IFERROR($AJ196/$AB196,0))</f>
        <v/>
      </c>
      <c r="AL196" s="38">
        <f>IF($A196="","",IF(OR($C196="Passed",$C196="Expired",$C196="Canceled"),$C196,IF($C196="Completed","Completed",IF(AND($O196&lt;='Settings'!$B$8,$AA196&gt;='Settings'!$B$10,$AJ196&gt;='Settings'!$B$9),IF($C196="Booked","Booked - Meets Targets","Meets Targets"),IF($C196="Booked","Booked - Below Target","Review")))))</f>
        <v/>
      </c>
      <c r="AM196" s="38">
        <f>IF($A196="","",IF(COUNTIF($A$6:$A$205,$A196)&gt;1,"Duplicate Load ID",IF(COUNTIF('Planner'!$A$6:$A$205,$B196)=0,"Trip ID not found",IF(($G196+$H196)&gt;($K196+$L196),"Check schedule",IF(MIN($N196,$O196,$P196,$Q196,$R196,$S196,$T196,$U196,$V196)&lt;0,"Negative value","OK")))))</f>
        <v/>
      </c>
    </row>
    <row r="197">
      <c r="A197" s="34" t="n"/>
      <c r="B197" s="34" t="n"/>
      <c r="C197" s="34" t="n"/>
      <c r="D197" s="34" t="n"/>
      <c r="E197" s="34" t="n"/>
      <c r="F197" s="34" t="n"/>
      <c r="G197" s="69" t="n"/>
      <c r="H197" s="36" t="n"/>
      <c r="I197" s="34" t="n"/>
      <c r="J197" s="34" t="n"/>
      <c r="K197" s="69" t="n"/>
      <c r="L197" s="36" t="n"/>
      <c r="M197" s="34" t="n"/>
      <c r="N197" s="75" t="n"/>
      <c r="O197" s="37" t="n"/>
      <c r="P197" s="37" t="n"/>
      <c r="Q197" s="37" t="n"/>
      <c r="R197" s="76" t="n"/>
      <c r="S197" s="77" t="n"/>
      <c r="T197" s="77" t="n"/>
      <c r="U197" s="77" t="n"/>
      <c r="V197" s="77" t="n"/>
      <c r="W197" s="34" t="n"/>
      <c r="X197" s="78" t="n"/>
      <c r="Y197" s="46" t="n"/>
      <c r="Z197" s="71">
        <f>IF($A197="","",SUM($S197:$U197))</f>
        <v/>
      </c>
      <c r="AA197" s="72">
        <f>IF($A197="","",IFERROR($Z197/$P197,0))</f>
        <v/>
      </c>
      <c r="AB197" s="41">
        <f>IF($A197="","",SUM($O197:$Q197))</f>
        <v/>
      </c>
      <c r="AC197" s="41">
        <f>IF($A197="","",IFERROR(INDEX('Planner'!$N$6:$N$205,MATCH($B197,'Planner'!$A$6:$A$205,0)),0))</f>
        <v/>
      </c>
      <c r="AD197" s="41">
        <f>IF($A197="","",$AC197-$O197-$Q197)</f>
        <v/>
      </c>
      <c r="AE197" s="41">
        <f>IF($A197="","",$AB197-$AC197)</f>
        <v/>
      </c>
      <c r="AF197" s="73">
        <f>IF($A197="","",IFERROR($AB197/'Settings'!$B$5,0))</f>
        <v/>
      </c>
      <c r="AG197" s="71">
        <f>IF($A197="","",$AF197*'Settings'!$B$4)</f>
        <v/>
      </c>
      <c r="AH197" s="71">
        <f>IF($A197="","",$AE197*'Settings'!$B$17)</f>
        <v/>
      </c>
      <c r="AI197" s="71">
        <f>IF($A197="","",$R197*'Settings'!$B$7)</f>
        <v/>
      </c>
      <c r="AJ197" s="71">
        <f>IF($A197="","",$Z197-$V197-$AH197-$AI197)</f>
        <v/>
      </c>
      <c r="AK197" s="72">
        <f>IF($A197="","",IFERROR($AJ197/$AB197,0))</f>
        <v/>
      </c>
      <c r="AL197" s="38">
        <f>IF($A197="","",IF(OR($C197="Passed",$C197="Expired",$C197="Canceled"),$C197,IF($C197="Completed","Completed",IF(AND($O197&lt;='Settings'!$B$8,$AA197&gt;='Settings'!$B$10,$AJ197&gt;='Settings'!$B$9),IF($C197="Booked","Booked - Meets Targets","Meets Targets"),IF($C197="Booked","Booked - Below Target","Review")))))</f>
        <v/>
      </c>
      <c r="AM197" s="38">
        <f>IF($A197="","",IF(COUNTIF($A$6:$A$205,$A197)&gt;1,"Duplicate Load ID",IF(COUNTIF('Planner'!$A$6:$A$205,$B197)=0,"Trip ID not found",IF(($G197+$H197)&gt;($K197+$L197),"Check schedule",IF(MIN($N197,$O197,$P197,$Q197,$R197,$S197,$T197,$U197,$V197)&lt;0,"Negative value","OK")))))</f>
        <v/>
      </c>
    </row>
    <row r="198">
      <c r="A198" s="34" t="n"/>
      <c r="B198" s="34" t="n"/>
      <c r="C198" s="34" t="n"/>
      <c r="D198" s="34" t="n"/>
      <c r="E198" s="34" t="n"/>
      <c r="F198" s="34" t="n"/>
      <c r="G198" s="69" t="n"/>
      <c r="H198" s="36" t="n"/>
      <c r="I198" s="34" t="n"/>
      <c r="J198" s="34" t="n"/>
      <c r="K198" s="69" t="n"/>
      <c r="L198" s="36" t="n"/>
      <c r="M198" s="34" t="n"/>
      <c r="N198" s="75" t="n"/>
      <c r="O198" s="37" t="n"/>
      <c r="P198" s="37" t="n"/>
      <c r="Q198" s="37" t="n"/>
      <c r="R198" s="76" t="n"/>
      <c r="S198" s="77" t="n"/>
      <c r="T198" s="77" t="n"/>
      <c r="U198" s="77" t="n"/>
      <c r="V198" s="77" t="n"/>
      <c r="W198" s="34" t="n"/>
      <c r="X198" s="78" t="n"/>
      <c r="Y198" s="46" t="n"/>
      <c r="Z198" s="71">
        <f>IF($A198="","",SUM($S198:$U198))</f>
        <v/>
      </c>
      <c r="AA198" s="72">
        <f>IF($A198="","",IFERROR($Z198/$P198,0))</f>
        <v/>
      </c>
      <c r="AB198" s="41">
        <f>IF($A198="","",SUM($O198:$Q198))</f>
        <v/>
      </c>
      <c r="AC198" s="41">
        <f>IF($A198="","",IFERROR(INDEX('Planner'!$N$6:$N$205,MATCH($B198,'Planner'!$A$6:$A$205,0)),0))</f>
        <v/>
      </c>
      <c r="AD198" s="41">
        <f>IF($A198="","",$AC198-$O198-$Q198)</f>
        <v/>
      </c>
      <c r="AE198" s="41">
        <f>IF($A198="","",$AB198-$AC198)</f>
        <v/>
      </c>
      <c r="AF198" s="73">
        <f>IF($A198="","",IFERROR($AB198/'Settings'!$B$5,0))</f>
        <v/>
      </c>
      <c r="AG198" s="71">
        <f>IF($A198="","",$AF198*'Settings'!$B$4)</f>
        <v/>
      </c>
      <c r="AH198" s="71">
        <f>IF($A198="","",$AE198*'Settings'!$B$17)</f>
        <v/>
      </c>
      <c r="AI198" s="71">
        <f>IF($A198="","",$R198*'Settings'!$B$7)</f>
        <v/>
      </c>
      <c r="AJ198" s="71">
        <f>IF($A198="","",$Z198-$V198-$AH198-$AI198)</f>
        <v/>
      </c>
      <c r="AK198" s="72">
        <f>IF($A198="","",IFERROR($AJ198/$AB198,0))</f>
        <v/>
      </c>
      <c r="AL198" s="38">
        <f>IF($A198="","",IF(OR($C198="Passed",$C198="Expired",$C198="Canceled"),$C198,IF($C198="Completed","Completed",IF(AND($O198&lt;='Settings'!$B$8,$AA198&gt;='Settings'!$B$10,$AJ198&gt;='Settings'!$B$9),IF($C198="Booked","Booked - Meets Targets","Meets Targets"),IF($C198="Booked","Booked - Below Target","Review")))))</f>
        <v/>
      </c>
      <c r="AM198" s="38">
        <f>IF($A198="","",IF(COUNTIF($A$6:$A$205,$A198)&gt;1,"Duplicate Load ID",IF(COUNTIF('Planner'!$A$6:$A$205,$B198)=0,"Trip ID not found",IF(($G198+$H198)&gt;($K198+$L198),"Check schedule",IF(MIN($N198,$O198,$P198,$Q198,$R198,$S198,$T198,$U198,$V198)&lt;0,"Negative value","OK")))))</f>
        <v/>
      </c>
    </row>
    <row r="199">
      <c r="A199" s="34" t="n"/>
      <c r="B199" s="34" t="n"/>
      <c r="C199" s="34" t="n"/>
      <c r="D199" s="34" t="n"/>
      <c r="E199" s="34" t="n"/>
      <c r="F199" s="34" t="n"/>
      <c r="G199" s="69" t="n"/>
      <c r="H199" s="36" t="n"/>
      <c r="I199" s="34" t="n"/>
      <c r="J199" s="34" t="n"/>
      <c r="K199" s="69" t="n"/>
      <c r="L199" s="36" t="n"/>
      <c r="M199" s="34" t="n"/>
      <c r="N199" s="75" t="n"/>
      <c r="O199" s="37" t="n"/>
      <c r="P199" s="37" t="n"/>
      <c r="Q199" s="37" t="n"/>
      <c r="R199" s="76" t="n"/>
      <c r="S199" s="77" t="n"/>
      <c r="T199" s="77" t="n"/>
      <c r="U199" s="77" t="n"/>
      <c r="V199" s="77" t="n"/>
      <c r="W199" s="34" t="n"/>
      <c r="X199" s="78" t="n"/>
      <c r="Y199" s="46" t="n"/>
      <c r="Z199" s="71">
        <f>IF($A199="","",SUM($S199:$U199))</f>
        <v/>
      </c>
      <c r="AA199" s="72">
        <f>IF($A199="","",IFERROR($Z199/$P199,0))</f>
        <v/>
      </c>
      <c r="AB199" s="41">
        <f>IF($A199="","",SUM($O199:$Q199))</f>
        <v/>
      </c>
      <c r="AC199" s="41">
        <f>IF($A199="","",IFERROR(INDEX('Planner'!$N$6:$N$205,MATCH($B199,'Planner'!$A$6:$A$205,0)),0))</f>
        <v/>
      </c>
      <c r="AD199" s="41">
        <f>IF($A199="","",$AC199-$O199-$Q199)</f>
        <v/>
      </c>
      <c r="AE199" s="41">
        <f>IF($A199="","",$AB199-$AC199)</f>
        <v/>
      </c>
      <c r="AF199" s="73">
        <f>IF($A199="","",IFERROR($AB199/'Settings'!$B$5,0))</f>
        <v/>
      </c>
      <c r="AG199" s="71">
        <f>IF($A199="","",$AF199*'Settings'!$B$4)</f>
        <v/>
      </c>
      <c r="AH199" s="71">
        <f>IF($A199="","",$AE199*'Settings'!$B$17)</f>
        <v/>
      </c>
      <c r="AI199" s="71">
        <f>IF($A199="","",$R199*'Settings'!$B$7)</f>
        <v/>
      </c>
      <c r="AJ199" s="71">
        <f>IF($A199="","",$Z199-$V199-$AH199-$AI199)</f>
        <v/>
      </c>
      <c r="AK199" s="72">
        <f>IF($A199="","",IFERROR($AJ199/$AB199,0))</f>
        <v/>
      </c>
      <c r="AL199" s="38">
        <f>IF($A199="","",IF(OR($C199="Passed",$C199="Expired",$C199="Canceled"),$C199,IF($C199="Completed","Completed",IF(AND($O199&lt;='Settings'!$B$8,$AA199&gt;='Settings'!$B$10,$AJ199&gt;='Settings'!$B$9),IF($C199="Booked","Booked - Meets Targets","Meets Targets"),IF($C199="Booked","Booked - Below Target","Review")))))</f>
        <v/>
      </c>
      <c r="AM199" s="38">
        <f>IF($A199="","",IF(COUNTIF($A$6:$A$205,$A199)&gt;1,"Duplicate Load ID",IF(COUNTIF('Planner'!$A$6:$A$205,$B199)=0,"Trip ID not found",IF(($G199+$H199)&gt;($K199+$L199),"Check schedule",IF(MIN($N199,$O199,$P199,$Q199,$R199,$S199,$T199,$U199,$V199)&lt;0,"Negative value","OK")))))</f>
        <v/>
      </c>
    </row>
    <row r="200">
      <c r="A200" s="34" t="n"/>
      <c r="B200" s="34" t="n"/>
      <c r="C200" s="34" t="n"/>
      <c r="D200" s="34" t="n"/>
      <c r="E200" s="34" t="n"/>
      <c r="F200" s="34" t="n"/>
      <c r="G200" s="69" t="n"/>
      <c r="H200" s="36" t="n"/>
      <c r="I200" s="34" t="n"/>
      <c r="J200" s="34" t="n"/>
      <c r="K200" s="69" t="n"/>
      <c r="L200" s="36" t="n"/>
      <c r="M200" s="34" t="n"/>
      <c r="N200" s="75" t="n"/>
      <c r="O200" s="37" t="n"/>
      <c r="P200" s="37" t="n"/>
      <c r="Q200" s="37" t="n"/>
      <c r="R200" s="76" t="n"/>
      <c r="S200" s="77" t="n"/>
      <c r="T200" s="77" t="n"/>
      <c r="U200" s="77" t="n"/>
      <c r="V200" s="77" t="n"/>
      <c r="W200" s="34" t="n"/>
      <c r="X200" s="78" t="n"/>
      <c r="Y200" s="46" t="n"/>
      <c r="Z200" s="71">
        <f>IF($A200="","",SUM($S200:$U200))</f>
        <v/>
      </c>
      <c r="AA200" s="72">
        <f>IF($A200="","",IFERROR($Z200/$P200,0))</f>
        <v/>
      </c>
      <c r="AB200" s="41">
        <f>IF($A200="","",SUM($O200:$Q200))</f>
        <v/>
      </c>
      <c r="AC200" s="41">
        <f>IF($A200="","",IFERROR(INDEX('Planner'!$N$6:$N$205,MATCH($B200,'Planner'!$A$6:$A$205,0)),0))</f>
        <v/>
      </c>
      <c r="AD200" s="41">
        <f>IF($A200="","",$AC200-$O200-$Q200)</f>
        <v/>
      </c>
      <c r="AE200" s="41">
        <f>IF($A200="","",$AB200-$AC200)</f>
        <v/>
      </c>
      <c r="AF200" s="73">
        <f>IF($A200="","",IFERROR($AB200/'Settings'!$B$5,0))</f>
        <v/>
      </c>
      <c r="AG200" s="71">
        <f>IF($A200="","",$AF200*'Settings'!$B$4)</f>
        <v/>
      </c>
      <c r="AH200" s="71">
        <f>IF($A200="","",$AE200*'Settings'!$B$17)</f>
        <v/>
      </c>
      <c r="AI200" s="71">
        <f>IF($A200="","",$R200*'Settings'!$B$7)</f>
        <v/>
      </c>
      <c r="AJ200" s="71">
        <f>IF($A200="","",$Z200-$V200-$AH200-$AI200)</f>
        <v/>
      </c>
      <c r="AK200" s="72">
        <f>IF($A200="","",IFERROR($AJ200/$AB200,0))</f>
        <v/>
      </c>
      <c r="AL200" s="38">
        <f>IF($A200="","",IF(OR($C200="Passed",$C200="Expired",$C200="Canceled"),$C200,IF($C200="Completed","Completed",IF(AND($O200&lt;='Settings'!$B$8,$AA200&gt;='Settings'!$B$10,$AJ200&gt;='Settings'!$B$9),IF($C200="Booked","Booked - Meets Targets","Meets Targets"),IF($C200="Booked","Booked - Below Target","Review")))))</f>
        <v/>
      </c>
      <c r="AM200" s="38">
        <f>IF($A200="","",IF(COUNTIF($A$6:$A$205,$A200)&gt;1,"Duplicate Load ID",IF(COUNTIF('Planner'!$A$6:$A$205,$B200)=0,"Trip ID not found",IF(($G200+$H200)&gt;($K200+$L200),"Check schedule",IF(MIN($N200,$O200,$P200,$Q200,$R200,$S200,$T200,$U200,$V200)&lt;0,"Negative value","OK")))))</f>
        <v/>
      </c>
    </row>
    <row r="201">
      <c r="A201" s="34" t="n"/>
      <c r="B201" s="34" t="n"/>
      <c r="C201" s="34" t="n"/>
      <c r="D201" s="34" t="n"/>
      <c r="E201" s="34" t="n"/>
      <c r="F201" s="34" t="n"/>
      <c r="G201" s="69" t="n"/>
      <c r="H201" s="36" t="n"/>
      <c r="I201" s="34" t="n"/>
      <c r="J201" s="34" t="n"/>
      <c r="K201" s="69" t="n"/>
      <c r="L201" s="36" t="n"/>
      <c r="M201" s="34" t="n"/>
      <c r="N201" s="75" t="n"/>
      <c r="O201" s="37" t="n"/>
      <c r="P201" s="37" t="n"/>
      <c r="Q201" s="37" t="n"/>
      <c r="R201" s="76" t="n"/>
      <c r="S201" s="77" t="n"/>
      <c r="T201" s="77" t="n"/>
      <c r="U201" s="77" t="n"/>
      <c r="V201" s="77" t="n"/>
      <c r="W201" s="34" t="n"/>
      <c r="X201" s="78" t="n"/>
      <c r="Y201" s="46" t="n"/>
      <c r="Z201" s="71">
        <f>IF($A201="","",SUM($S201:$U201))</f>
        <v/>
      </c>
      <c r="AA201" s="72">
        <f>IF($A201="","",IFERROR($Z201/$P201,0))</f>
        <v/>
      </c>
      <c r="AB201" s="41">
        <f>IF($A201="","",SUM($O201:$Q201))</f>
        <v/>
      </c>
      <c r="AC201" s="41">
        <f>IF($A201="","",IFERROR(INDEX('Planner'!$N$6:$N$205,MATCH($B201,'Planner'!$A$6:$A$205,0)),0))</f>
        <v/>
      </c>
      <c r="AD201" s="41">
        <f>IF($A201="","",$AC201-$O201-$Q201)</f>
        <v/>
      </c>
      <c r="AE201" s="41">
        <f>IF($A201="","",$AB201-$AC201)</f>
        <v/>
      </c>
      <c r="AF201" s="73">
        <f>IF($A201="","",IFERROR($AB201/'Settings'!$B$5,0))</f>
        <v/>
      </c>
      <c r="AG201" s="71">
        <f>IF($A201="","",$AF201*'Settings'!$B$4)</f>
        <v/>
      </c>
      <c r="AH201" s="71">
        <f>IF($A201="","",$AE201*'Settings'!$B$17)</f>
        <v/>
      </c>
      <c r="AI201" s="71">
        <f>IF($A201="","",$R201*'Settings'!$B$7)</f>
        <v/>
      </c>
      <c r="AJ201" s="71">
        <f>IF($A201="","",$Z201-$V201-$AH201-$AI201)</f>
        <v/>
      </c>
      <c r="AK201" s="72">
        <f>IF($A201="","",IFERROR($AJ201/$AB201,0))</f>
        <v/>
      </c>
      <c r="AL201" s="38">
        <f>IF($A201="","",IF(OR($C201="Passed",$C201="Expired",$C201="Canceled"),$C201,IF($C201="Completed","Completed",IF(AND($O201&lt;='Settings'!$B$8,$AA201&gt;='Settings'!$B$10,$AJ201&gt;='Settings'!$B$9),IF($C201="Booked","Booked - Meets Targets","Meets Targets"),IF($C201="Booked","Booked - Below Target","Review")))))</f>
        <v/>
      </c>
      <c r="AM201" s="38">
        <f>IF($A201="","",IF(COUNTIF($A$6:$A$205,$A201)&gt;1,"Duplicate Load ID",IF(COUNTIF('Planner'!$A$6:$A$205,$B201)=0,"Trip ID not found",IF(($G201+$H201)&gt;($K201+$L201),"Check schedule",IF(MIN($N201,$O201,$P201,$Q201,$R201,$S201,$T201,$U201,$V201)&lt;0,"Negative value","OK")))))</f>
        <v/>
      </c>
    </row>
    <row r="202">
      <c r="A202" s="34" t="n"/>
      <c r="B202" s="34" t="n"/>
      <c r="C202" s="34" t="n"/>
      <c r="D202" s="34" t="n"/>
      <c r="E202" s="34" t="n"/>
      <c r="F202" s="34" t="n"/>
      <c r="G202" s="69" t="n"/>
      <c r="H202" s="36" t="n"/>
      <c r="I202" s="34" t="n"/>
      <c r="J202" s="34" t="n"/>
      <c r="K202" s="69" t="n"/>
      <c r="L202" s="36" t="n"/>
      <c r="M202" s="34" t="n"/>
      <c r="N202" s="75" t="n"/>
      <c r="O202" s="37" t="n"/>
      <c r="P202" s="37" t="n"/>
      <c r="Q202" s="37" t="n"/>
      <c r="R202" s="76" t="n"/>
      <c r="S202" s="77" t="n"/>
      <c r="T202" s="77" t="n"/>
      <c r="U202" s="77" t="n"/>
      <c r="V202" s="77" t="n"/>
      <c r="W202" s="34" t="n"/>
      <c r="X202" s="78" t="n"/>
      <c r="Y202" s="46" t="n"/>
      <c r="Z202" s="71">
        <f>IF($A202="","",SUM($S202:$U202))</f>
        <v/>
      </c>
      <c r="AA202" s="72">
        <f>IF($A202="","",IFERROR($Z202/$P202,0))</f>
        <v/>
      </c>
      <c r="AB202" s="41">
        <f>IF($A202="","",SUM($O202:$Q202))</f>
        <v/>
      </c>
      <c r="AC202" s="41">
        <f>IF($A202="","",IFERROR(INDEX('Planner'!$N$6:$N$205,MATCH($B202,'Planner'!$A$6:$A$205,0)),0))</f>
        <v/>
      </c>
      <c r="AD202" s="41">
        <f>IF($A202="","",$AC202-$O202-$Q202)</f>
        <v/>
      </c>
      <c r="AE202" s="41">
        <f>IF($A202="","",$AB202-$AC202)</f>
        <v/>
      </c>
      <c r="AF202" s="73">
        <f>IF($A202="","",IFERROR($AB202/'Settings'!$B$5,0))</f>
        <v/>
      </c>
      <c r="AG202" s="71">
        <f>IF($A202="","",$AF202*'Settings'!$B$4)</f>
        <v/>
      </c>
      <c r="AH202" s="71">
        <f>IF($A202="","",$AE202*'Settings'!$B$17)</f>
        <v/>
      </c>
      <c r="AI202" s="71">
        <f>IF($A202="","",$R202*'Settings'!$B$7)</f>
        <v/>
      </c>
      <c r="AJ202" s="71">
        <f>IF($A202="","",$Z202-$V202-$AH202-$AI202)</f>
        <v/>
      </c>
      <c r="AK202" s="72">
        <f>IF($A202="","",IFERROR($AJ202/$AB202,0))</f>
        <v/>
      </c>
      <c r="AL202" s="38">
        <f>IF($A202="","",IF(OR($C202="Passed",$C202="Expired",$C202="Canceled"),$C202,IF($C202="Completed","Completed",IF(AND($O202&lt;='Settings'!$B$8,$AA202&gt;='Settings'!$B$10,$AJ202&gt;='Settings'!$B$9),IF($C202="Booked","Booked - Meets Targets","Meets Targets"),IF($C202="Booked","Booked - Below Target","Review")))))</f>
        <v/>
      </c>
      <c r="AM202" s="38">
        <f>IF($A202="","",IF(COUNTIF($A$6:$A$205,$A202)&gt;1,"Duplicate Load ID",IF(COUNTIF('Planner'!$A$6:$A$205,$B202)=0,"Trip ID not found",IF(($G202+$H202)&gt;($K202+$L202),"Check schedule",IF(MIN($N202,$O202,$P202,$Q202,$R202,$S202,$T202,$U202,$V202)&lt;0,"Negative value","OK")))))</f>
        <v/>
      </c>
    </row>
    <row r="203">
      <c r="A203" s="34" t="n"/>
      <c r="B203" s="34" t="n"/>
      <c r="C203" s="34" t="n"/>
      <c r="D203" s="34" t="n"/>
      <c r="E203" s="34" t="n"/>
      <c r="F203" s="34" t="n"/>
      <c r="G203" s="69" t="n"/>
      <c r="H203" s="36" t="n"/>
      <c r="I203" s="34" t="n"/>
      <c r="J203" s="34" t="n"/>
      <c r="K203" s="69" t="n"/>
      <c r="L203" s="36" t="n"/>
      <c r="M203" s="34" t="n"/>
      <c r="N203" s="75" t="n"/>
      <c r="O203" s="37" t="n"/>
      <c r="P203" s="37" t="n"/>
      <c r="Q203" s="37" t="n"/>
      <c r="R203" s="76" t="n"/>
      <c r="S203" s="77" t="n"/>
      <c r="T203" s="77" t="n"/>
      <c r="U203" s="77" t="n"/>
      <c r="V203" s="77" t="n"/>
      <c r="W203" s="34" t="n"/>
      <c r="X203" s="78" t="n"/>
      <c r="Y203" s="46" t="n"/>
      <c r="Z203" s="71">
        <f>IF($A203="","",SUM($S203:$U203))</f>
        <v/>
      </c>
      <c r="AA203" s="72">
        <f>IF($A203="","",IFERROR($Z203/$P203,0))</f>
        <v/>
      </c>
      <c r="AB203" s="41">
        <f>IF($A203="","",SUM($O203:$Q203))</f>
        <v/>
      </c>
      <c r="AC203" s="41">
        <f>IF($A203="","",IFERROR(INDEX('Planner'!$N$6:$N$205,MATCH($B203,'Planner'!$A$6:$A$205,0)),0))</f>
        <v/>
      </c>
      <c r="AD203" s="41">
        <f>IF($A203="","",$AC203-$O203-$Q203)</f>
        <v/>
      </c>
      <c r="AE203" s="41">
        <f>IF($A203="","",$AB203-$AC203)</f>
        <v/>
      </c>
      <c r="AF203" s="73">
        <f>IF($A203="","",IFERROR($AB203/'Settings'!$B$5,0))</f>
        <v/>
      </c>
      <c r="AG203" s="71">
        <f>IF($A203="","",$AF203*'Settings'!$B$4)</f>
        <v/>
      </c>
      <c r="AH203" s="71">
        <f>IF($A203="","",$AE203*'Settings'!$B$17)</f>
        <v/>
      </c>
      <c r="AI203" s="71">
        <f>IF($A203="","",$R203*'Settings'!$B$7)</f>
        <v/>
      </c>
      <c r="AJ203" s="71">
        <f>IF($A203="","",$Z203-$V203-$AH203-$AI203)</f>
        <v/>
      </c>
      <c r="AK203" s="72">
        <f>IF($A203="","",IFERROR($AJ203/$AB203,0))</f>
        <v/>
      </c>
      <c r="AL203" s="38">
        <f>IF($A203="","",IF(OR($C203="Passed",$C203="Expired",$C203="Canceled"),$C203,IF($C203="Completed","Completed",IF(AND($O203&lt;='Settings'!$B$8,$AA203&gt;='Settings'!$B$10,$AJ203&gt;='Settings'!$B$9),IF($C203="Booked","Booked - Meets Targets","Meets Targets"),IF($C203="Booked","Booked - Below Target","Review")))))</f>
        <v/>
      </c>
      <c r="AM203" s="38">
        <f>IF($A203="","",IF(COUNTIF($A$6:$A$205,$A203)&gt;1,"Duplicate Load ID",IF(COUNTIF('Planner'!$A$6:$A$205,$B203)=0,"Trip ID not found",IF(($G203+$H203)&gt;($K203+$L203),"Check schedule",IF(MIN($N203,$O203,$P203,$Q203,$R203,$S203,$T203,$U203,$V203)&lt;0,"Negative value","OK")))))</f>
        <v/>
      </c>
    </row>
    <row r="204">
      <c r="A204" s="34" t="n"/>
      <c r="B204" s="34" t="n"/>
      <c r="C204" s="34" t="n"/>
      <c r="D204" s="34" t="n"/>
      <c r="E204" s="34" t="n"/>
      <c r="F204" s="34" t="n"/>
      <c r="G204" s="69" t="n"/>
      <c r="H204" s="36" t="n"/>
      <c r="I204" s="34" t="n"/>
      <c r="J204" s="34" t="n"/>
      <c r="K204" s="69" t="n"/>
      <c r="L204" s="36" t="n"/>
      <c r="M204" s="34" t="n"/>
      <c r="N204" s="75" t="n"/>
      <c r="O204" s="37" t="n"/>
      <c r="P204" s="37" t="n"/>
      <c r="Q204" s="37" t="n"/>
      <c r="R204" s="76" t="n"/>
      <c r="S204" s="77" t="n"/>
      <c r="T204" s="77" t="n"/>
      <c r="U204" s="77" t="n"/>
      <c r="V204" s="77" t="n"/>
      <c r="W204" s="34" t="n"/>
      <c r="X204" s="78" t="n"/>
      <c r="Y204" s="46" t="n"/>
      <c r="Z204" s="71">
        <f>IF($A204="","",SUM($S204:$U204))</f>
        <v/>
      </c>
      <c r="AA204" s="72">
        <f>IF($A204="","",IFERROR($Z204/$P204,0))</f>
        <v/>
      </c>
      <c r="AB204" s="41">
        <f>IF($A204="","",SUM($O204:$Q204))</f>
        <v/>
      </c>
      <c r="AC204" s="41">
        <f>IF($A204="","",IFERROR(INDEX('Planner'!$N$6:$N$205,MATCH($B204,'Planner'!$A$6:$A$205,0)),0))</f>
        <v/>
      </c>
      <c r="AD204" s="41">
        <f>IF($A204="","",$AC204-$O204-$Q204)</f>
        <v/>
      </c>
      <c r="AE204" s="41">
        <f>IF($A204="","",$AB204-$AC204)</f>
        <v/>
      </c>
      <c r="AF204" s="73">
        <f>IF($A204="","",IFERROR($AB204/'Settings'!$B$5,0))</f>
        <v/>
      </c>
      <c r="AG204" s="71">
        <f>IF($A204="","",$AF204*'Settings'!$B$4)</f>
        <v/>
      </c>
      <c r="AH204" s="71">
        <f>IF($A204="","",$AE204*'Settings'!$B$17)</f>
        <v/>
      </c>
      <c r="AI204" s="71">
        <f>IF($A204="","",$R204*'Settings'!$B$7)</f>
        <v/>
      </c>
      <c r="AJ204" s="71">
        <f>IF($A204="","",$Z204-$V204-$AH204-$AI204)</f>
        <v/>
      </c>
      <c r="AK204" s="72">
        <f>IF($A204="","",IFERROR($AJ204/$AB204,0))</f>
        <v/>
      </c>
      <c r="AL204" s="38">
        <f>IF($A204="","",IF(OR($C204="Passed",$C204="Expired",$C204="Canceled"),$C204,IF($C204="Completed","Completed",IF(AND($O204&lt;='Settings'!$B$8,$AA204&gt;='Settings'!$B$10,$AJ204&gt;='Settings'!$B$9),IF($C204="Booked","Booked - Meets Targets","Meets Targets"),IF($C204="Booked","Booked - Below Target","Review")))))</f>
        <v/>
      </c>
      <c r="AM204" s="38">
        <f>IF($A204="","",IF(COUNTIF($A$6:$A$205,$A204)&gt;1,"Duplicate Load ID",IF(COUNTIF('Planner'!$A$6:$A$205,$B204)=0,"Trip ID not found",IF(($G204+$H204)&gt;($K204+$L204),"Check schedule",IF(MIN($N204,$O204,$P204,$Q204,$R204,$S204,$T204,$U204,$V204)&lt;0,"Negative value","OK")))))</f>
        <v/>
      </c>
    </row>
    <row r="205">
      <c r="A205" s="34" t="n"/>
      <c r="B205" s="34" t="n"/>
      <c r="C205" s="34" t="n"/>
      <c r="D205" s="34" t="n"/>
      <c r="E205" s="34" t="n"/>
      <c r="F205" s="34" t="n"/>
      <c r="G205" s="69" t="n"/>
      <c r="H205" s="36" t="n"/>
      <c r="I205" s="34" t="n"/>
      <c r="J205" s="34" t="n"/>
      <c r="K205" s="69" t="n"/>
      <c r="L205" s="36" t="n"/>
      <c r="M205" s="34" t="n"/>
      <c r="N205" s="75" t="n"/>
      <c r="O205" s="37" t="n"/>
      <c r="P205" s="37" t="n"/>
      <c r="Q205" s="37" t="n"/>
      <c r="R205" s="76" t="n"/>
      <c r="S205" s="77" t="n"/>
      <c r="T205" s="77" t="n"/>
      <c r="U205" s="77" t="n"/>
      <c r="V205" s="77" t="n"/>
      <c r="W205" s="34" t="n"/>
      <c r="X205" s="78" t="n"/>
      <c r="Y205" s="46" t="n"/>
      <c r="Z205" s="71">
        <f>IF($A205="","",SUM($S205:$U205))</f>
        <v/>
      </c>
      <c r="AA205" s="72">
        <f>IF($A205="","",IFERROR($Z205/$P205,0))</f>
        <v/>
      </c>
      <c r="AB205" s="41">
        <f>IF($A205="","",SUM($O205:$Q205))</f>
        <v/>
      </c>
      <c r="AC205" s="41">
        <f>IF($A205="","",IFERROR(INDEX('Planner'!$N$6:$N$205,MATCH($B205,'Planner'!$A$6:$A$205,0)),0))</f>
        <v/>
      </c>
      <c r="AD205" s="41">
        <f>IF($A205="","",$AC205-$O205-$Q205)</f>
        <v/>
      </c>
      <c r="AE205" s="41">
        <f>IF($A205="","",$AB205-$AC205)</f>
        <v/>
      </c>
      <c r="AF205" s="73">
        <f>IF($A205="","",IFERROR($AB205/'Settings'!$B$5,0))</f>
        <v/>
      </c>
      <c r="AG205" s="71">
        <f>IF($A205="","",$AF205*'Settings'!$B$4)</f>
        <v/>
      </c>
      <c r="AH205" s="71">
        <f>IF($A205="","",$AE205*'Settings'!$B$17)</f>
        <v/>
      </c>
      <c r="AI205" s="71">
        <f>IF($A205="","",$R205*'Settings'!$B$7)</f>
        <v/>
      </c>
      <c r="AJ205" s="71">
        <f>IF($A205="","",$Z205-$V205-$AH205-$AI205)</f>
        <v/>
      </c>
      <c r="AK205" s="72">
        <f>IF($A205="","",IFERROR($AJ205/$AB205,0))</f>
        <v/>
      </c>
      <c r="AL205" s="38">
        <f>IF($A205="","",IF(OR($C205="Passed",$C205="Expired",$C205="Canceled"),$C205,IF($C205="Completed","Completed",IF(AND($O205&lt;='Settings'!$B$8,$AA205&gt;='Settings'!$B$10,$AJ205&gt;='Settings'!$B$9),IF($C205="Booked","Booked - Meets Targets","Meets Targets"),IF($C205="Booked","Booked - Below Target","Review")))))</f>
        <v/>
      </c>
      <c r="AM205" s="38">
        <f>IF($A205="","",IF(COUNTIF($A$6:$A$205,$A205)&gt;1,"Duplicate Load ID",IF(COUNTIF('Planner'!$A$6:$A$205,$B205)=0,"Trip ID not found",IF(($G205+$H205)&gt;($K205+$L205),"Check schedule",IF(MIN($N205,$O205,$P205,$Q205,$R205,$S205,$T205,$U205,$V205)&lt;0,"Negative value","OK")))))</f>
        <v/>
      </c>
    </row>
  </sheetData>
  <mergeCells count="1">
    <mergeCell ref="A1:AM1"/>
  </mergeCells>
  <conditionalFormatting sqref="AM6:AM205">
    <cfRule type="expression" priority="1" dxfId="2">
      <formula>AND($A6&lt;&gt;"",$AM6&lt;&gt;"OK")</formula>
    </cfRule>
  </conditionalFormatting>
  <conditionalFormatting sqref="AL6:AL205">
    <cfRule type="expression" priority="2" dxfId="0">
      <formula>$AL6="Meets Targets"</formula>
    </cfRule>
    <cfRule type="expression" priority="3" dxfId="0">
      <formula>$AL6="Booked - Meets Targets"</formula>
    </cfRule>
    <cfRule type="expression" priority="4" dxfId="1">
      <formula>$AL6="Review"</formula>
    </cfRule>
    <cfRule type="expression" priority="5" dxfId="2">
      <formula>$AL6="Booked - Below Target"</formula>
    </cfRule>
  </conditionalFormatting>
  <conditionalFormatting sqref="C6:C205">
    <cfRule type="expression" priority="6" dxfId="7">
      <formula>$C6="Passed"</formula>
    </cfRule>
    <cfRule type="expression" priority="7" dxfId="8">
      <formula>$C6="Expired"</formula>
    </cfRule>
    <cfRule type="expression" priority="8" dxfId="8">
      <formula>$C6="Canceled"</formula>
    </cfRule>
  </conditionalFormatting>
  <conditionalFormatting sqref="O6:O205">
    <cfRule type="expression" priority="9" dxfId="1">
      <formula>AND($A6&lt;&gt;"",$O6&gt;'Settings'!$B$8)</formula>
    </cfRule>
  </conditionalFormatting>
  <conditionalFormatting sqref="AA6:AA205">
    <cfRule type="expression" priority="10" dxfId="2">
      <formula>AND($A6&lt;&gt;"",$AA6&lt;'Settings'!$B$10)</formula>
    </cfRule>
  </conditionalFormatting>
  <conditionalFormatting sqref="AJ6:AJ205">
    <cfRule type="expression" priority="11" dxfId="2">
      <formula>AND($A6&lt;&gt;"",$AJ6&lt;'Settings'!$B$9)</formula>
    </cfRule>
  </conditionalFormatting>
  <conditionalFormatting sqref="X6:X205">
    <cfRule type="expression" priority="12" dxfId="2" stopIfTrue="1">
      <formula>AND($A6&lt;&gt;"",OR($C6="New",$C6="Quoted",$C6="Hold"),$X6&lt;TODAY())</formula>
    </cfRule>
    <cfRule type="expression" priority="13" dxfId="1">
      <formula>AND($A6&lt;&gt;"",OR($C6="New",$C6="Quoted",$C6="Hold"),$X6&gt;=TODAY(),$X6&lt;=TODAY()+'Settings'!$B$14)</formula>
    </cfRule>
  </conditionalFormatting>
  <conditionalFormatting sqref="AD6:AD205">
    <cfRule type="expression" priority="14" dxfId="2">
      <formula>AND($A6&lt;&gt;"",$AD6&lt;0)</formula>
    </cfRule>
  </conditionalFormatting>
  <dataValidations count="11">
    <dataValidation sqref="A6:A205" showDropDown="0" showInputMessage="0" showErrorMessage="1" allowBlank="0" errorTitle="Possible duplicate Load ID" error="This Load ID already exists. Use a unique Load ID." type="custom" errorStyle="warning">
      <formula1>=OR(A6="",COUNTIF($A$6:$A$205,A6)=1)</formula1>
    </dataValidation>
    <dataValidation sqref="B6:B205" showDropDown="0" showInputMessage="0" showErrorMessage="0" allowBlank="0" type="list">
      <formula1>=INDIRECT("'Planner'!$A$6:$A$205")</formula1>
    </dataValidation>
    <dataValidation sqref="C6:C205" showDropDown="0" showInputMessage="0" showErrorMessage="0" allowBlank="0" type="list">
      <formula1>=INDIRECT("'Settings'!$G$4:$G$11")</formula1>
    </dataValidation>
    <dataValidation sqref="F6:F205 J6:J205" showDropDown="0" showInputMessage="0" showErrorMessage="0" allowBlank="0" type="list">
      <formula1>=INDIRECT("'Settings'!$H$4:$H$54")</formula1>
    </dataValidation>
    <dataValidation sqref="M6:M205" showDropDown="0" showInputMessage="0" showErrorMessage="0" allowBlank="0" type="list">
      <formula1>=INDIRECT("'Settings'!$E$4:$E$8")</formula1>
    </dataValidation>
    <dataValidation sqref="N6:N205" showDropDown="0" showInputMessage="0" showErrorMessage="0" allowBlank="0" type="whole" operator="between">
      <formula1>0</formula1>
      <formula2>80000</formula2>
    </dataValidation>
    <dataValidation sqref="O6:Q205" showDropDown="0" showInputMessage="0" showErrorMessage="0" allowBlank="0" type="whole" operator="between">
      <formula1>0</formula1>
      <formula2>5000</formula2>
    </dataValidation>
    <dataValidation sqref="R6:R205" showDropDown="0" showInputMessage="0" showErrorMessage="0" allowBlank="0" type="decimal" operator="between">
      <formula1>0</formula1>
      <formula2>168</formula2>
    </dataValidation>
    <dataValidation sqref="S6:V205" showDropDown="0" showInputMessage="0" showErrorMessage="0" allowBlank="0" type="decimal" operator="between">
      <formula1>0</formula1>
      <formula2>100000</formula2>
    </dataValidation>
    <dataValidation sqref="G6:G205 K6:K205 X6:X205" showDropDown="0" showInputMessage="0" showErrorMessage="0" allowBlank="0" type="date" operator="between">
      <formula1>DATE(2020,1,1)</formula1>
      <formula2>DATE(2035,12,31)</formula2>
    </dataValidation>
    <dataValidation sqref="H6:H205 L6:L205" showDropDown="0" showInputMessage="0" showErrorMessage="0" allowBlank="0" type="time" operator="between">
      <formula1>0</formula1>
      <formula2>0.99999</formula2>
    </dataValidation>
  </dataValidations>
  <pageMargins left="0.75" right="0.75" top="1" bottom="1" header="0.5" footer="0.5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4" customWidth="1" min="3" max="3"/>
    <col width="3" customWidth="1" min="4" max="4"/>
    <col hidden="1" width="13" customWidth="1" min="5" max="5"/>
    <col hidden="1" width="13" customWidth="1" min="6" max="6"/>
    <col hidden="1" width="13" customWidth="1" min="7" max="7"/>
    <col hidden="1" width="13" customWidth="1" min="8" max="8"/>
    <col hidden="1" width="13" customWidth="1" min="9" max="9"/>
    <col hidden="1" width="13" customWidth="1" min="10" max="10"/>
  </cols>
  <sheetData>
    <row r="1" ht="28" customHeight="1">
      <c r="A1" s="1" t="inlineStr">
        <is>
          <t>Backhaul Planning Settings</t>
        </is>
      </c>
    </row>
    <row r="2" ht="24" customHeight="1">
      <c r="A2" s="29" t="inlineStr">
        <is>
          <t>Edit yellow assumption cells to match current fleet costs and operating preferences.</t>
        </is>
      </c>
      <c r="B2" s="29" t="n"/>
      <c r="C2" s="29" t="n"/>
    </row>
    <row r="3">
      <c r="A3" s="51" t="inlineStr">
        <is>
          <t>Assumption</t>
        </is>
      </c>
      <c r="B3" s="51" t="inlineStr">
        <is>
          <t>Value</t>
        </is>
      </c>
      <c r="C3" s="51" t="inlineStr">
        <is>
          <t>Units / Notes</t>
        </is>
      </c>
      <c r="E3" t="inlineStr">
        <is>
          <t>EquipmentList</t>
        </is>
      </c>
      <c r="F3" t="inlineStr">
        <is>
          <t>TripStatusList</t>
        </is>
      </c>
      <c r="G3" t="inlineStr">
        <is>
          <t>OpportunityStatusList</t>
        </is>
      </c>
      <c r="H3" t="inlineStr">
        <is>
          <t>StateList</t>
        </is>
      </c>
      <c r="I3" t="inlineStr">
        <is>
          <t>TripIDList</t>
        </is>
      </c>
      <c r="J3" t="inlineStr">
        <is>
          <t>LoadIDList</t>
        </is>
      </c>
    </row>
    <row r="4">
      <c r="A4" s="52" t="inlineStr">
        <is>
          <t>Diesel Price per Gallon</t>
        </is>
      </c>
      <c r="B4" s="79" t="n">
        <v>3.85</v>
      </c>
      <c r="C4" s="52" t="inlineStr">
        <is>
          <t>U.S. dollars per gallon</t>
        </is>
      </c>
      <c r="E4" t="inlineStr">
        <is>
          <t>Dry Van</t>
        </is>
      </c>
      <c r="F4" t="inlineStr">
        <is>
          <t>Searching</t>
        </is>
      </c>
      <c r="G4" t="inlineStr">
        <is>
          <t>New</t>
        </is>
      </c>
      <c r="H4" t="inlineStr">
        <is>
          <t>AL</t>
        </is>
      </c>
      <c r="I4" t="inlineStr">
        <is>
          <t>Planner rows 6 through 205</t>
        </is>
      </c>
      <c r="J4" t="inlineStr">
        <is>
          <t>Opportunities rows 6 through 205</t>
        </is>
      </c>
    </row>
    <row r="5">
      <c r="A5" s="52" t="inlineStr">
        <is>
          <t>Average Fuel Economy</t>
        </is>
      </c>
      <c r="B5" s="80" t="n">
        <v>7.2</v>
      </c>
      <c r="C5" s="52" t="inlineStr">
        <is>
          <t>Miles per gallon</t>
        </is>
      </c>
      <c r="E5" t="inlineStr">
        <is>
          <t>Reefer</t>
        </is>
      </c>
      <c r="F5" t="inlineStr">
        <is>
          <t>Tentative</t>
        </is>
      </c>
      <c r="G5" t="inlineStr">
        <is>
          <t>Quoted</t>
        </is>
      </c>
      <c r="H5" t="inlineStr">
        <is>
          <t>AK</t>
        </is>
      </c>
    </row>
    <row r="6">
      <c r="A6" s="52" t="inlineStr">
        <is>
          <t>Non-Fuel Variable Cost per Mile</t>
        </is>
      </c>
      <c r="B6" s="81" t="n">
        <v>0.38</v>
      </c>
      <c r="C6" s="52" t="inlineStr">
        <is>
          <t>Maintenance, tires, and other variable cost</t>
        </is>
      </c>
      <c r="E6" t="inlineStr">
        <is>
          <t>Flatbed</t>
        </is>
      </c>
      <c r="F6" t="inlineStr">
        <is>
          <t>Booked</t>
        </is>
      </c>
      <c r="G6" t="inlineStr">
        <is>
          <t>Hold</t>
        </is>
      </c>
      <c r="H6" t="inlineStr">
        <is>
          <t>AZ</t>
        </is>
      </c>
    </row>
    <row r="7">
      <c r="A7" s="52" t="inlineStr">
        <is>
          <t>Driver Wait Cost per Hour</t>
        </is>
      </c>
      <c r="B7" s="79" t="n">
        <v>30</v>
      </c>
      <c r="C7" s="52" t="inlineStr">
        <is>
          <t>U.S. dollars per planned idle hour</t>
        </is>
      </c>
      <c r="E7" t="inlineStr">
        <is>
          <t>Box Truck</t>
        </is>
      </c>
      <c r="F7" t="inlineStr">
        <is>
          <t>Completed</t>
        </is>
      </c>
      <c r="G7" t="inlineStr">
        <is>
          <t>Booked</t>
        </is>
      </c>
      <c r="H7" t="inlineStr">
        <is>
          <t>AR</t>
        </is>
      </c>
    </row>
    <row r="8">
      <c r="A8" s="52" t="inlineStr">
        <is>
          <t>Maximum Preferred Deadhead</t>
        </is>
      </c>
      <c r="B8" s="56" t="n">
        <v>150</v>
      </c>
      <c r="C8" s="52" t="inlineStr">
        <is>
          <t>Miles</t>
        </is>
      </c>
      <c r="E8" t="inlineStr">
        <is>
          <t>Sprinter Van</t>
        </is>
      </c>
      <c r="F8" t="inlineStr">
        <is>
          <t>No Backhaul</t>
        </is>
      </c>
      <c r="G8" t="inlineStr">
        <is>
          <t>Completed</t>
        </is>
      </c>
      <c r="H8" t="inlineStr">
        <is>
          <t>CA</t>
        </is>
      </c>
    </row>
    <row r="9">
      <c r="A9" s="52" t="inlineStr">
        <is>
          <t>Minimum Net Contribution</t>
        </is>
      </c>
      <c r="B9" s="79" t="n">
        <v>400</v>
      </c>
      <c r="C9" s="52" t="inlineStr">
        <is>
          <t>U.S. dollars</t>
        </is>
      </c>
      <c r="F9" t="inlineStr">
        <is>
          <t>Canceled</t>
        </is>
      </c>
      <c r="G9" t="inlineStr">
        <is>
          <t>Passed</t>
        </is>
      </c>
      <c r="H9" t="inlineStr">
        <is>
          <t>CO</t>
        </is>
      </c>
    </row>
    <row r="10">
      <c r="A10" s="52" t="inlineStr">
        <is>
          <t>Minimum Revenue per Loaded Mile</t>
        </is>
      </c>
      <c r="B10" s="81" t="n">
        <v>2.2</v>
      </c>
      <c r="C10" s="52" t="inlineStr">
        <is>
          <t>U.S. dollars per loaded mile</t>
        </is>
      </c>
      <c r="G10" t="inlineStr">
        <is>
          <t>Expired</t>
        </is>
      </c>
      <c r="H10" t="inlineStr">
        <is>
          <t>CT</t>
        </is>
      </c>
    </row>
    <row r="11">
      <c r="A11" s="52" t="inlineStr">
        <is>
          <t>Planning Speed</t>
        </is>
      </c>
      <c r="B11" s="82" t="n">
        <v>50</v>
      </c>
      <c r="C11" s="52" t="inlineStr">
        <is>
          <t>Miles per hour</t>
        </is>
      </c>
      <c r="G11" t="inlineStr">
        <is>
          <t>Canceled</t>
        </is>
      </c>
      <c r="H11" t="inlineStr">
        <is>
          <t>DE</t>
        </is>
      </c>
    </row>
    <row r="12">
      <c r="A12" s="52" t="inlineStr">
        <is>
          <t>Pickup Buffer</t>
        </is>
      </c>
      <c r="B12" s="83" t="n">
        <v>1</v>
      </c>
      <c r="C12" s="52" t="inlineStr">
        <is>
          <t>Hours</t>
        </is>
      </c>
      <c r="H12" t="inlineStr">
        <is>
          <t>FL</t>
        </is>
      </c>
    </row>
    <row r="13">
      <c r="A13" s="52" t="inlineStr">
        <is>
          <t>Maximum Pickup Wait</t>
        </is>
      </c>
      <c r="B13" s="83" t="n">
        <v>24</v>
      </c>
      <c r="C13" s="52" t="inlineStr">
        <is>
          <t>Hours</t>
        </is>
      </c>
      <c r="H13" t="inlineStr">
        <is>
          <t>GA</t>
        </is>
      </c>
    </row>
    <row r="14">
      <c r="A14" s="52" t="inlineStr">
        <is>
          <t>Quote Expiration Alert</t>
        </is>
      </c>
      <c r="B14" s="84" t="n">
        <v>2</v>
      </c>
      <c r="C14" s="52" t="inlineStr">
        <is>
          <t>Days</t>
        </is>
      </c>
      <c r="H14" t="inlineStr">
        <is>
          <t>HI</t>
        </is>
      </c>
    </row>
    <row r="15">
      <c r="A15" s="12" t="inlineStr">
        <is>
          <t>Calculated Rates</t>
        </is>
      </c>
      <c r="B15" s="12" t="n"/>
      <c r="C15" s="12" t="n"/>
      <c r="H15" t="inlineStr">
        <is>
          <t>ID</t>
        </is>
      </c>
    </row>
    <row r="16">
      <c r="A16" s="52" t="inlineStr">
        <is>
          <t>Fuel Cost per Mile</t>
        </is>
      </c>
      <c r="B16" s="85">
        <f>IFERROR(B4/B5,0)</f>
        <v/>
      </c>
      <c r="C16" s="52" t="inlineStr">
        <is>
          <t>Diesel price divided by average fuel economy</t>
        </is>
      </c>
      <c r="H16" t="inlineStr">
        <is>
          <t>IL</t>
        </is>
      </c>
    </row>
    <row r="17">
      <c r="A17" s="52" t="inlineStr">
        <is>
          <t>All-In Variable Cost per Mile</t>
        </is>
      </c>
      <c r="B17" s="85">
        <f>B16+B6</f>
        <v/>
      </c>
      <c r="C17" s="52" t="inlineStr">
        <is>
          <t>Fuel cost plus non-fuel variable cost</t>
        </is>
      </c>
      <c r="H17" t="inlineStr">
        <is>
          <t>IN</t>
        </is>
      </c>
    </row>
    <row r="18">
      <c r="H18" t="inlineStr">
        <is>
          <t>IA</t>
        </is>
      </c>
    </row>
    <row r="19">
      <c r="H19" t="inlineStr">
        <is>
          <t>KS</t>
        </is>
      </c>
    </row>
    <row r="20">
      <c r="H20" t="inlineStr">
        <is>
          <t>KY</t>
        </is>
      </c>
    </row>
    <row r="21">
      <c r="H21" t="inlineStr">
        <is>
          <t>LA</t>
        </is>
      </c>
    </row>
    <row r="22">
      <c r="H22" t="inlineStr">
        <is>
          <t>ME</t>
        </is>
      </c>
    </row>
    <row r="23">
      <c r="H23" t="inlineStr">
        <is>
          <t>MD</t>
        </is>
      </c>
    </row>
    <row r="24">
      <c r="H24" t="inlineStr">
        <is>
          <t>MA</t>
        </is>
      </c>
    </row>
    <row r="25">
      <c r="H25" t="inlineStr">
        <is>
          <t>MI</t>
        </is>
      </c>
    </row>
    <row r="26">
      <c r="H26" t="inlineStr">
        <is>
          <t>MN</t>
        </is>
      </c>
    </row>
    <row r="27">
      <c r="H27" t="inlineStr">
        <is>
          <t>MS</t>
        </is>
      </c>
    </row>
    <row r="28">
      <c r="H28" t="inlineStr">
        <is>
          <t>MO</t>
        </is>
      </c>
    </row>
    <row r="29">
      <c r="H29" t="inlineStr">
        <is>
          <t>MT</t>
        </is>
      </c>
    </row>
    <row r="30">
      <c r="H30" t="inlineStr">
        <is>
          <t>NE</t>
        </is>
      </c>
    </row>
    <row r="31">
      <c r="H31" t="inlineStr">
        <is>
          <t>NV</t>
        </is>
      </c>
    </row>
    <row r="32">
      <c r="H32" t="inlineStr">
        <is>
          <t>NH</t>
        </is>
      </c>
    </row>
    <row r="33">
      <c r="H33" t="inlineStr">
        <is>
          <t>NJ</t>
        </is>
      </c>
    </row>
    <row r="34">
      <c r="H34" t="inlineStr">
        <is>
          <t>NM</t>
        </is>
      </c>
    </row>
    <row r="35">
      <c r="H35" t="inlineStr">
        <is>
          <t>NY</t>
        </is>
      </c>
    </row>
    <row r="36">
      <c r="H36" t="inlineStr">
        <is>
          <t>NC</t>
        </is>
      </c>
    </row>
    <row r="37">
      <c r="H37" t="inlineStr">
        <is>
          <t>ND</t>
        </is>
      </c>
    </row>
    <row r="38">
      <c r="H38" t="inlineStr">
        <is>
          <t>OH</t>
        </is>
      </c>
    </row>
    <row r="39">
      <c r="H39" t="inlineStr">
        <is>
          <t>OK</t>
        </is>
      </c>
    </row>
    <row r="40">
      <c r="H40" t="inlineStr">
        <is>
          <t>OR</t>
        </is>
      </c>
    </row>
    <row r="41">
      <c r="H41" t="inlineStr">
        <is>
          <t>PA</t>
        </is>
      </c>
    </row>
    <row r="42">
      <c r="H42" t="inlineStr">
        <is>
          <t>RI</t>
        </is>
      </c>
    </row>
    <row r="43">
      <c r="H43" t="inlineStr">
        <is>
          <t>SC</t>
        </is>
      </c>
    </row>
    <row r="44">
      <c r="H44" t="inlineStr">
        <is>
          <t>SD</t>
        </is>
      </c>
    </row>
    <row r="45">
      <c r="H45" t="inlineStr">
        <is>
          <t>TN</t>
        </is>
      </c>
    </row>
    <row r="46">
      <c r="H46" t="inlineStr">
        <is>
          <t>TX</t>
        </is>
      </c>
    </row>
    <row r="47">
      <c r="H47" t="inlineStr">
        <is>
          <t>UT</t>
        </is>
      </c>
    </row>
    <row r="48">
      <c r="H48" t="inlineStr">
        <is>
          <t>VT</t>
        </is>
      </c>
    </row>
    <row r="49">
      <c r="H49" t="inlineStr">
        <is>
          <t>VA</t>
        </is>
      </c>
    </row>
    <row r="50">
      <c r="H50" t="inlineStr">
        <is>
          <t>WA</t>
        </is>
      </c>
    </row>
    <row r="51">
      <c r="H51" t="inlineStr">
        <is>
          <t>WV</t>
        </is>
      </c>
    </row>
    <row r="52">
      <c r="H52" t="inlineStr">
        <is>
          <t>WI</t>
        </is>
      </c>
    </row>
    <row r="53">
      <c r="H53" t="inlineStr">
        <is>
          <t>WY</t>
        </is>
      </c>
    </row>
    <row r="54">
      <c r="H54" t="inlineStr">
        <is>
          <t>DC</t>
        </is>
      </c>
    </row>
  </sheetData>
  <autoFilter ref="A3:C17"/>
  <mergeCells count="1">
    <mergeCell ref="A1:C1"/>
  </mergeCells>
  <dataValidations count="2">
    <dataValidation sqref="B4:B7 B9:B13" showDropDown="0" showInputMessage="0" showErrorMessage="1" allowBlank="0" errorTitle="Invalid setting" error="Enter a nonnegative numeric value." type="decimal" operator="between">
      <formula1>0</formula1>
      <formula2>100000</formula2>
    </dataValidation>
    <dataValidation sqref="B8 B14" showDropDown="0" showInputMessage="0" showErrorMessage="1" allowBlank="0" errorTitle="Invalid setting" error="Enter a whole number from 0 through 5,000." type="whole" operator="between">
      <formula1>0</formula1>
      <formula2>5000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2026-09-07T16:24:06Z</dcterms:created>
  <dcterms:modified xmlns:dcterms="http://purl.org/dc/terms/" xmlns:xsi="http://www.w3.org/2001/XMLSchema-instance" xsi:type="dcterms:W3CDTF">2026-09-07T16:24:09+00:00Z</dcterms:modified>
</cp:coreProperties>
</file>